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worksheets/sheet402.xml" ContentType="application/vnd.openxmlformats-officedocument.spreadsheetml.worksheet+xml"/>
  <Override PartName="/xl/worksheets/sheet403.xml" ContentType="application/vnd.openxmlformats-officedocument.spreadsheetml.worksheet+xml"/>
  <Override PartName="/xl/worksheets/sheet404.xml" ContentType="application/vnd.openxmlformats-officedocument.spreadsheetml.worksheet+xml"/>
  <Override PartName="/xl/worksheets/sheet405.xml" ContentType="application/vnd.openxmlformats-officedocument.spreadsheetml.worksheet+xml"/>
  <Override PartName="/xl/worksheets/sheet406.xml" ContentType="application/vnd.openxmlformats-officedocument.spreadsheetml.worksheet+xml"/>
  <Override PartName="/xl/worksheets/sheet407.xml" ContentType="application/vnd.openxmlformats-officedocument.spreadsheetml.worksheet+xml"/>
  <Override PartName="/xl/worksheets/sheet408.xml" ContentType="application/vnd.openxmlformats-officedocument.spreadsheetml.worksheet+xml"/>
  <Override PartName="/xl/worksheets/sheet409.xml" ContentType="application/vnd.openxmlformats-officedocument.spreadsheetml.worksheet+xml"/>
  <Override PartName="/xl/worksheets/sheet410.xml" ContentType="application/vnd.openxmlformats-officedocument.spreadsheetml.worksheet+xml"/>
  <Override PartName="/xl/worksheets/sheet411.xml" ContentType="application/vnd.openxmlformats-officedocument.spreadsheetml.worksheet+xml"/>
  <Override PartName="/xl/worksheets/sheet412.xml" ContentType="application/vnd.openxmlformats-officedocument.spreadsheetml.worksheet+xml"/>
  <Override PartName="/xl/worksheets/sheet413.xml" ContentType="application/vnd.openxmlformats-officedocument.spreadsheetml.worksheet+xml"/>
  <Override PartName="/xl/worksheets/sheet414.xml" ContentType="application/vnd.openxmlformats-officedocument.spreadsheetml.worksheet+xml"/>
  <Override PartName="/xl/worksheets/sheet415.xml" ContentType="application/vnd.openxmlformats-officedocument.spreadsheetml.worksheet+xml"/>
  <Override PartName="/xl/worksheets/sheet416.xml" ContentType="application/vnd.openxmlformats-officedocument.spreadsheetml.worksheet+xml"/>
  <Override PartName="/xl/worksheets/sheet417.xml" ContentType="application/vnd.openxmlformats-officedocument.spreadsheetml.worksheet+xml"/>
  <Override PartName="/xl/worksheets/sheet418.xml" ContentType="application/vnd.openxmlformats-officedocument.spreadsheetml.worksheet+xml"/>
  <Override PartName="/xl/worksheets/sheet419.xml" ContentType="application/vnd.openxmlformats-officedocument.spreadsheetml.worksheet+xml"/>
  <Override PartName="/xl/worksheets/sheet420.xml" ContentType="application/vnd.openxmlformats-officedocument.spreadsheetml.worksheet+xml"/>
  <Override PartName="/xl/worksheets/sheet421.xml" ContentType="application/vnd.openxmlformats-officedocument.spreadsheetml.worksheet+xml"/>
  <Override PartName="/xl/worksheets/sheet422.xml" ContentType="application/vnd.openxmlformats-officedocument.spreadsheetml.worksheet+xml"/>
  <Override PartName="/xl/worksheets/sheet423.xml" ContentType="application/vnd.openxmlformats-officedocument.spreadsheetml.worksheet+xml"/>
  <Override PartName="/xl/worksheets/sheet424.xml" ContentType="application/vnd.openxmlformats-officedocument.spreadsheetml.worksheet+xml"/>
  <Override PartName="/xl/worksheets/sheet425.xml" ContentType="application/vnd.openxmlformats-officedocument.spreadsheetml.worksheet+xml"/>
  <Override PartName="/xl/worksheets/sheet426.xml" ContentType="application/vnd.openxmlformats-officedocument.spreadsheetml.worksheet+xml"/>
  <Override PartName="/xl/worksheets/sheet427.xml" ContentType="application/vnd.openxmlformats-officedocument.spreadsheetml.worksheet+xml"/>
  <Override PartName="/xl/worksheets/sheet428.xml" ContentType="application/vnd.openxmlformats-officedocument.spreadsheetml.worksheet+xml"/>
  <Override PartName="/xl/worksheets/sheet429.xml" ContentType="application/vnd.openxmlformats-officedocument.spreadsheetml.worksheet+xml"/>
  <Override PartName="/xl/worksheets/sheet430.xml" ContentType="application/vnd.openxmlformats-officedocument.spreadsheetml.worksheet+xml"/>
  <Override PartName="/xl/worksheets/sheet431.xml" ContentType="application/vnd.openxmlformats-officedocument.spreadsheetml.worksheet+xml"/>
  <Override PartName="/xl/worksheets/sheet432.xml" ContentType="application/vnd.openxmlformats-officedocument.spreadsheetml.worksheet+xml"/>
  <Override PartName="/xl/worksheets/sheet433.xml" ContentType="application/vnd.openxmlformats-officedocument.spreadsheetml.worksheet+xml"/>
  <Override PartName="/xl/worksheets/sheet434.xml" ContentType="application/vnd.openxmlformats-officedocument.spreadsheetml.worksheet+xml"/>
  <Override PartName="/xl/worksheets/sheet435.xml" ContentType="application/vnd.openxmlformats-officedocument.spreadsheetml.worksheet+xml"/>
  <Override PartName="/xl/worksheets/sheet436.xml" ContentType="application/vnd.openxmlformats-officedocument.spreadsheetml.worksheet+xml"/>
  <Override PartName="/xl/worksheets/sheet437.xml" ContentType="application/vnd.openxmlformats-officedocument.spreadsheetml.worksheet+xml"/>
  <Override PartName="/xl/worksheets/sheet438.xml" ContentType="application/vnd.openxmlformats-officedocument.spreadsheetml.worksheet+xml"/>
  <Override PartName="/xl/worksheets/sheet439.xml" ContentType="application/vnd.openxmlformats-officedocument.spreadsheetml.worksheet+xml"/>
  <Override PartName="/xl/worksheets/sheet440.xml" ContentType="application/vnd.openxmlformats-officedocument.spreadsheetml.worksheet+xml"/>
  <Override PartName="/xl/worksheets/sheet441.xml" ContentType="application/vnd.openxmlformats-officedocument.spreadsheetml.worksheet+xml"/>
  <Override PartName="/xl/worksheets/sheet442.xml" ContentType="application/vnd.openxmlformats-officedocument.spreadsheetml.worksheet+xml"/>
  <Override PartName="/xl/worksheets/sheet443.xml" ContentType="application/vnd.openxmlformats-officedocument.spreadsheetml.worksheet+xml"/>
  <Override PartName="/xl/worksheets/sheet444.xml" ContentType="application/vnd.openxmlformats-officedocument.spreadsheetml.worksheet+xml"/>
  <Override PartName="/xl/worksheets/sheet445.xml" ContentType="application/vnd.openxmlformats-officedocument.spreadsheetml.worksheet+xml"/>
  <Override PartName="/xl/worksheets/sheet446.xml" ContentType="application/vnd.openxmlformats-officedocument.spreadsheetml.worksheet+xml"/>
  <Override PartName="/xl/worksheets/sheet447.xml" ContentType="application/vnd.openxmlformats-officedocument.spreadsheetml.worksheet+xml"/>
  <Override PartName="/xl/worksheets/sheet448.xml" ContentType="application/vnd.openxmlformats-officedocument.spreadsheetml.worksheet+xml"/>
  <Override PartName="/xl/worksheets/sheet449.xml" ContentType="application/vnd.openxmlformats-officedocument.spreadsheetml.worksheet+xml"/>
  <Override PartName="/xl/worksheets/sheet450.xml" ContentType="application/vnd.openxmlformats-officedocument.spreadsheetml.worksheet+xml"/>
  <Override PartName="/xl/worksheets/sheet451.xml" ContentType="application/vnd.openxmlformats-officedocument.spreadsheetml.worksheet+xml"/>
  <Override PartName="/xl/worksheets/sheet452.xml" ContentType="application/vnd.openxmlformats-officedocument.spreadsheetml.worksheet+xml"/>
  <Override PartName="/xl/worksheets/sheet453.xml" ContentType="application/vnd.openxmlformats-officedocument.spreadsheetml.worksheet+xml"/>
  <Override PartName="/xl/worksheets/sheet454.xml" ContentType="application/vnd.openxmlformats-officedocument.spreadsheetml.worksheet+xml"/>
  <Override PartName="/xl/worksheets/sheet455.xml" ContentType="application/vnd.openxmlformats-officedocument.spreadsheetml.worksheet+xml"/>
  <Override PartName="/xl/worksheets/sheet456.xml" ContentType="application/vnd.openxmlformats-officedocument.spreadsheetml.worksheet+xml"/>
  <Override PartName="/xl/worksheets/sheet457.xml" ContentType="application/vnd.openxmlformats-officedocument.spreadsheetml.worksheet+xml"/>
  <Override PartName="/xl/worksheets/sheet458.xml" ContentType="application/vnd.openxmlformats-officedocument.spreadsheetml.worksheet+xml"/>
  <Override PartName="/xl/worksheets/sheet459.xml" ContentType="application/vnd.openxmlformats-officedocument.spreadsheetml.worksheet+xml"/>
  <Override PartName="/xl/worksheets/sheet460.xml" ContentType="application/vnd.openxmlformats-officedocument.spreadsheetml.worksheet+xml"/>
  <Override PartName="/xl/worksheets/sheet461.xml" ContentType="application/vnd.openxmlformats-officedocument.spreadsheetml.worksheet+xml"/>
  <Override PartName="/xl/worksheets/sheet462.xml" ContentType="application/vnd.openxmlformats-officedocument.spreadsheetml.worksheet+xml"/>
  <Override PartName="/xl/worksheets/sheet463.xml" ContentType="application/vnd.openxmlformats-officedocument.spreadsheetml.worksheet+xml"/>
  <Override PartName="/xl/worksheets/sheet464.xml" ContentType="application/vnd.openxmlformats-officedocument.spreadsheetml.worksheet+xml"/>
  <Override PartName="/xl/worksheets/sheet465.xml" ContentType="application/vnd.openxmlformats-officedocument.spreadsheetml.worksheet+xml"/>
  <Override PartName="/xl/worksheets/sheet466.xml" ContentType="application/vnd.openxmlformats-officedocument.spreadsheetml.worksheet+xml"/>
  <Override PartName="/xl/worksheets/sheet467.xml" ContentType="application/vnd.openxmlformats-officedocument.spreadsheetml.worksheet+xml"/>
  <Override PartName="/xl/worksheets/sheet468.xml" ContentType="application/vnd.openxmlformats-officedocument.spreadsheetml.worksheet+xml"/>
  <Override PartName="/xl/worksheets/sheet469.xml" ContentType="application/vnd.openxmlformats-officedocument.spreadsheetml.worksheet+xml"/>
  <Override PartName="/xl/worksheets/sheet470.xml" ContentType="application/vnd.openxmlformats-officedocument.spreadsheetml.worksheet+xml"/>
  <Override PartName="/xl/worksheets/sheet471.xml" ContentType="application/vnd.openxmlformats-officedocument.spreadsheetml.worksheet+xml"/>
  <Override PartName="/xl/worksheets/sheet472.xml" ContentType="application/vnd.openxmlformats-officedocument.spreadsheetml.worksheet+xml"/>
  <Override PartName="/xl/worksheets/sheet473.xml" ContentType="application/vnd.openxmlformats-officedocument.spreadsheetml.worksheet+xml"/>
  <Override PartName="/xl/worksheets/sheet474.xml" ContentType="application/vnd.openxmlformats-officedocument.spreadsheetml.worksheet+xml"/>
  <Override PartName="/xl/worksheets/sheet475.xml" ContentType="application/vnd.openxmlformats-officedocument.spreadsheetml.worksheet+xml"/>
  <Override PartName="/xl/worksheets/sheet476.xml" ContentType="application/vnd.openxmlformats-officedocument.spreadsheetml.worksheet+xml"/>
  <Override PartName="/xl/worksheets/sheet477.xml" ContentType="application/vnd.openxmlformats-officedocument.spreadsheetml.worksheet+xml"/>
  <Override PartName="/xl/worksheets/sheet478.xml" ContentType="application/vnd.openxmlformats-officedocument.spreadsheetml.worksheet+xml"/>
  <Override PartName="/xl/worksheets/sheet479.xml" ContentType="application/vnd.openxmlformats-officedocument.spreadsheetml.worksheet+xml"/>
  <Override PartName="/xl/worksheets/sheet480.xml" ContentType="application/vnd.openxmlformats-officedocument.spreadsheetml.worksheet+xml"/>
  <Override PartName="/xl/worksheets/sheet481.xml" ContentType="application/vnd.openxmlformats-officedocument.spreadsheetml.worksheet+xml"/>
  <Override PartName="/xl/worksheets/sheet482.xml" ContentType="application/vnd.openxmlformats-officedocument.spreadsheetml.worksheet+xml"/>
  <Override PartName="/xl/worksheets/sheet483.xml" ContentType="application/vnd.openxmlformats-officedocument.spreadsheetml.worksheet+xml"/>
  <Override PartName="/xl/worksheets/sheet484.xml" ContentType="application/vnd.openxmlformats-officedocument.spreadsheetml.worksheet+xml"/>
  <Override PartName="/xl/worksheets/sheet485.xml" ContentType="application/vnd.openxmlformats-officedocument.spreadsheetml.worksheet+xml"/>
  <Override PartName="/xl/worksheets/sheet486.xml" ContentType="application/vnd.openxmlformats-officedocument.spreadsheetml.worksheet+xml"/>
  <Override PartName="/xl/worksheets/sheet487.xml" ContentType="application/vnd.openxmlformats-officedocument.spreadsheetml.worksheet+xml"/>
  <Override PartName="/xl/worksheets/sheet488.xml" ContentType="application/vnd.openxmlformats-officedocument.spreadsheetml.worksheet+xml"/>
  <Override PartName="/xl/worksheets/sheet489.xml" ContentType="application/vnd.openxmlformats-officedocument.spreadsheetml.worksheet+xml"/>
  <Override PartName="/xl/worksheets/sheet490.xml" ContentType="application/vnd.openxmlformats-officedocument.spreadsheetml.worksheet+xml"/>
  <Override PartName="/xl/worksheets/sheet491.xml" ContentType="application/vnd.openxmlformats-officedocument.spreadsheetml.worksheet+xml"/>
  <Override PartName="/xl/worksheets/sheet492.xml" ContentType="application/vnd.openxmlformats-officedocument.spreadsheetml.worksheet+xml"/>
  <Override PartName="/xl/worksheets/sheet493.xml" ContentType="application/vnd.openxmlformats-officedocument.spreadsheetml.worksheet+xml"/>
  <Override PartName="/xl/worksheets/sheet494.xml" ContentType="application/vnd.openxmlformats-officedocument.spreadsheetml.worksheet+xml"/>
  <Override PartName="/xl/worksheets/sheet495.xml" ContentType="application/vnd.openxmlformats-officedocument.spreadsheetml.worksheet+xml"/>
  <Override PartName="/xl/worksheets/sheet496.xml" ContentType="application/vnd.openxmlformats-officedocument.spreadsheetml.worksheet+xml"/>
  <Override PartName="/xl/worksheets/sheet497.xml" ContentType="application/vnd.openxmlformats-officedocument.spreadsheetml.worksheet+xml"/>
  <Override PartName="/xl/worksheets/sheet498.xml" ContentType="application/vnd.openxmlformats-officedocument.spreadsheetml.worksheet+xml"/>
  <Override PartName="/xl/worksheets/sheet499.xml" ContentType="application/vnd.openxmlformats-officedocument.spreadsheetml.worksheet+xml"/>
  <Override PartName="/xl/worksheets/sheet500.xml" ContentType="application/vnd.openxmlformats-officedocument.spreadsheetml.worksheet+xml"/>
  <Override PartName="/xl/worksheets/sheet501.xml" ContentType="application/vnd.openxmlformats-officedocument.spreadsheetml.worksheet+xml"/>
  <Override PartName="/xl/worksheets/sheet502.xml" ContentType="application/vnd.openxmlformats-officedocument.spreadsheetml.worksheet+xml"/>
  <Override PartName="/xl/worksheets/sheet503.xml" ContentType="application/vnd.openxmlformats-officedocument.spreadsheetml.worksheet+xml"/>
  <Override PartName="/xl/worksheets/sheet504.xml" ContentType="application/vnd.openxmlformats-officedocument.spreadsheetml.worksheet+xml"/>
  <Override PartName="/xl/worksheets/sheet505.xml" ContentType="application/vnd.openxmlformats-officedocument.spreadsheetml.worksheet+xml"/>
  <Override PartName="/xl/worksheets/sheet506.xml" ContentType="application/vnd.openxmlformats-officedocument.spreadsheetml.worksheet+xml"/>
  <Override PartName="/xl/worksheets/sheet507.xml" ContentType="application/vnd.openxmlformats-officedocument.spreadsheetml.worksheet+xml"/>
  <Override PartName="/xl/worksheets/sheet508.xml" ContentType="application/vnd.openxmlformats-officedocument.spreadsheetml.worksheet+xml"/>
  <Override PartName="/xl/worksheets/sheet509.xml" ContentType="application/vnd.openxmlformats-officedocument.spreadsheetml.worksheet+xml"/>
  <Override PartName="/xl/worksheets/sheet510.xml" ContentType="application/vnd.openxmlformats-officedocument.spreadsheetml.worksheet+xml"/>
  <Override PartName="/xl/worksheets/sheet511.xml" ContentType="application/vnd.openxmlformats-officedocument.spreadsheetml.worksheet+xml"/>
  <Override PartName="/xl/worksheets/sheet512.xml" ContentType="application/vnd.openxmlformats-officedocument.spreadsheetml.worksheet+xml"/>
  <Override PartName="/xl/worksheets/sheet513.xml" ContentType="application/vnd.openxmlformats-officedocument.spreadsheetml.worksheet+xml"/>
  <Override PartName="/xl/worksheets/sheet514.xml" ContentType="application/vnd.openxmlformats-officedocument.spreadsheetml.worksheet+xml"/>
  <Override PartName="/xl/worksheets/sheet515.xml" ContentType="application/vnd.openxmlformats-officedocument.spreadsheetml.worksheet+xml"/>
  <Override PartName="/xl/worksheets/sheet516.xml" ContentType="application/vnd.openxmlformats-officedocument.spreadsheetml.worksheet+xml"/>
  <Override PartName="/xl/worksheets/sheet517.xml" ContentType="application/vnd.openxmlformats-officedocument.spreadsheetml.worksheet+xml"/>
  <Override PartName="/xl/worksheets/sheet518.xml" ContentType="application/vnd.openxmlformats-officedocument.spreadsheetml.worksheet+xml"/>
  <Override PartName="/xl/worksheets/sheet519.xml" ContentType="application/vnd.openxmlformats-officedocument.spreadsheetml.worksheet+xml"/>
  <Override PartName="/xl/worksheets/sheet520.xml" ContentType="application/vnd.openxmlformats-officedocument.spreadsheetml.worksheet+xml"/>
  <Override PartName="/xl/worksheets/sheet521.xml" ContentType="application/vnd.openxmlformats-officedocument.spreadsheetml.worksheet+xml"/>
  <Override PartName="/xl/worksheets/sheet522.xml" ContentType="application/vnd.openxmlformats-officedocument.spreadsheetml.worksheet+xml"/>
  <Override PartName="/xl/worksheets/sheet523.xml" ContentType="application/vnd.openxmlformats-officedocument.spreadsheetml.worksheet+xml"/>
  <Override PartName="/xl/worksheets/sheet524.xml" ContentType="application/vnd.openxmlformats-officedocument.spreadsheetml.worksheet+xml"/>
  <Override PartName="/xl/worksheets/sheet525.xml" ContentType="application/vnd.openxmlformats-officedocument.spreadsheetml.worksheet+xml"/>
  <Override PartName="/xl/worksheets/sheet526.xml" ContentType="application/vnd.openxmlformats-officedocument.spreadsheetml.worksheet+xml"/>
  <Override PartName="/xl/worksheets/sheet527.xml" ContentType="application/vnd.openxmlformats-officedocument.spreadsheetml.worksheet+xml"/>
  <Override PartName="/xl/worksheets/sheet528.xml" ContentType="application/vnd.openxmlformats-officedocument.spreadsheetml.worksheet+xml"/>
  <Override PartName="/xl/worksheets/sheet529.xml" ContentType="application/vnd.openxmlformats-officedocument.spreadsheetml.worksheet+xml"/>
  <Override PartName="/xl/worksheets/sheet530.xml" ContentType="application/vnd.openxmlformats-officedocument.spreadsheetml.worksheet+xml"/>
  <Override PartName="/xl/worksheets/sheet531.xml" ContentType="application/vnd.openxmlformats-officedocument.spreadsheetml.worksheet+xml"/>
  <Override PartName="/xl/worksheets/sheet532.xml" ContentType="application/vnd.openxmlformats-officedocument.spreadsheetml.worksheet+xml"/>
  <Override PartName="/xl/worksheets/sheet533.xml" ContentType="application/vnd.openxmlformats-officedocument.spreadsheetml.worksheet+xml"/>
  <Override PartName="/xl/worksheets/sheet534.xml" ContentType="application/vnd.openxmlformats-officedocument.spreadsheetml.worksheet+xml"/>
  <Override PartName="/xl/worksheets/sheet535.xml" ContentType="application/vnd.openxmlformats-officedocument.spreadsheetml.worksheet+xml"/>
  <Override PartName="/xl/worksheets/sheet536.xml" ContentType="application/vnd.openxmlformats-officedocument.spreadsheetml.worksheet+xml"/>
  <Override PartName="/xl/worksheets/sheet537.xml" ContentType="application/vnd.openxmlformats-officedocument.spreadsheetml.worksheet+xml"/>
  <Override PartName="/xl/worksheets/sheet538.xml" ContentType="application/vnd.openxmlformats-officedocument.spreadsheetml.worksheet+xml"/>
  <Override PartName="/xl/worksheets/sheet539.xml" ContentType="application/vnd.openxmlformats-officedocument.spreadsheetml.worksheet+xml"/>
  <Override PartName="/xl/worksheets/sheet540.xml" ContentType="application/vnd.openxmlformats-officedocument.spreadsheetml.worksheet+xml"/>
  <Override PartName="/xl/worksheets/sheet541.xml" ContentType="application/vnd.openxmlformats-officedocument.spreadsheetml.worksheet+xml"/>
  <Override PartName="/xl/worksheets/sheet542.xml" ContentType="application/vnd.openxmlformats-officedocument.spreadsheetml.worksheet+xml"/>
  <Override PartName="/xl/worksheets/sheet543.xml" ContentType="application/vnd.openxmlformats-officedocument.spreadsheetml.worksheet+xml"/>
  <Override PartName="/xl/worksheets/sheet544.xml" ContentType="application/vnd.openxmlformats-officedocument.spreadsheetml.worksheet+xml"/>
  <Override PartName="/xl/worksheets/sheet545.xml" ContentType="application/vnd.openxmlformats-officedocument.spreadsheetml.worksheet+xml"/>
  <Override PartName="/xl/worksheets/sheet546.xml" ContentType="application/vnd.openxmlformats-officedocument.spreadsheetml.worksheet+xml"/>
  <Override PartName="/xl/worksheets/sheet547.xml" ContentType="application/vnd.openxmlformats-officedocument.spreadsheetml.worksheet+xml"/>
  <Override PartName="/xl/worksheets/sheet548.xml" ContentType="application/vnd.openxmlformats-officedocument.spreadsheetml.worksheet+xml"/>
  <Override PartName="/xl/worksheets/sheet549.xml" ContentType="application/vnd.openxmlformats-officedocument.spreadsheetml.worksheet+xml"/>
  <Override PartName="/xl/worksheets/sheet550.xml" ContentType="application/vnd.openxmlformats-officedocument.spreadsheetml.worksheet+xml"/>
  <Override PartName="/xl/worksheets/sheet551.xml" ContentType="application/vnd.openxmlformats-officedocument.spreadsheetml.worksheet+xml"/>
  <Override PartName="/xl/worksheets/sheet552.xml" ContentType="application/vnd.openxmlformats-officedocument.spreadsheetml.worksheet+xml"/>
  <Override PartName="/xl/worksheets/sheet553.xml" ContentType="application/vnd.openxmlformats-officedocument.spreadsheetml.worksheet+xml"/>
  <Override PartName="/xl/worksheets/sheet554.xml" ContentType="application/vnd.openxmlformats-officedocument.spreadsheetml.worksheet+xml"/>
  <Override PartName="/xl/worksheets/sheet555.xml" ContentType="application/vnd.openxmlformats-officedocument.spreadsheetml.worksheet+xml"/>
  <Override PartName="/xl/worksheets/sheet556.xml" ContentType="application/vnd.openxmlformats-officedocument.spreadsheetml.worksheet+xml"/>
  <Override PartName="/xl/worksheets/sheet557.xml" ContentType="application/vnd.openxmlformats-officedocument.spreadsheetml.worksheet+xml"/>
  <Override PartName="/xl/worksheets/sheet558.xml" ContentType="application/vnd.openxmlformats-officedocument.spreadsheetml.worksheet+xml"/>
  <Override PartName="/xl/worksheets/sheet559.xml" ContentType="application/vnd.openxmlformats-officedocument.spreadsheetml.worksheet+xml"/>
  <Override PartName="/xl/worksheets/sheet560.xml" ContentType="application/vnd.openxmlformats-officedocument.spreadsheetml.worksheet+xml"/>
  <Override PartName="/xl/worksheets/sheet561.xml" ContentType="application/vnd.openxmlformats-officedocument.spreadsheetml.worksheet+xml"/>
  <Override PartName="/xl/worksheets/sheet562.xml" ContentType="application/vnd.openxmlformats-officedocument.spreadsheetml.worksheet+xml"/>
  <Override PartName="/xl/worksheets/sheet563.xml" ContentType="application/vnd.openxmlformats-officedocument.spreadsheetml.worksheet+xml"/>
  <Override PartName="/xl/worksheets/sheet564.xml" ContentType="application/vnd.openxmlformats-officedocument.spreadsheetml.worksheet+xml"/>
  <Override PartName="/xl/worksheets/sheet565.xml" ContentType="application/vnd.openxmlformats-officedocument.spreadsheetml.worksheet+xml"/>
  <Override PartName="/xl/worksheets/sheet566.xml" ContentType="application/vnd.openxmlformats-officedocument.spreadsheetml.worksheet+xml"/>
  <Override PartName="/xl/worksheets/sheet567.xml" ContentType="application/vnd.openxmlformats-officedocument.spreadsheetml.worksheet+xml"/>
  <Override PartName="/xl/worksheets/sheet568.xml" ContentType="application/vnd.openxmlformats-officedocument.spreadsheetml.worksheet+xml"/>
  <Override PartName="/xl/worksheets/sheet569.xml" ContentType="application/vnd.openxmlformats-officedocument.spreadsheetml.worksheet+xml"/>
  <Override PartName="/xl/worksheets/sheet570.xml" ContentType="application/vnd.openxmlformats-officedocument.spreadsheetml.worksheet+xml"/>
  <Override PartName="/xl/worksheets/sheet571.xml" ContentType="application/vnd.openxmlformats-officedocument.spreadsheetml.worksheet+xml"/>
  <Override PartName="/xl/worksheets/sheet572.xml" ContentType="application/vnd.openxmlformats-officedocument.spreadsheetml.worksheet+xml"/>
  <Override PartName="/xl/worksheets/sheet573.xml" ContentType="application/vnd.openxmlformats-officedocument.spreadsheetml.worksheet+xml"/>
  <Override PartName="/xl/worksheets/sheet574.xml" ContentType="application/vnd.openxmlformats-officedocument.spreadsheetml.worksheet+xml"/>
  <Override PartName="/xl/worksheets/sheet575.xml" ContentType="application/vnd.openxmlformats-officedocument.spreadsheetml.worksheet+xml"/>
  <Override PartName="/xl/worksheets/sheet576.xml" ContentType="application/vnd.openxmlformats-officedocument.spreadsheetml.worksheet+xml"/>
  <Override PartName="/xl/worksheets/sheet577.xml" ContentType="application/vnd.openxmlformats-officedocument.spreadsheetml.worksheet+xml"/>
  <Override PartName="/xl/worksheets/sheet578.xml" ContentType="application/vnd.openxmlformats-officedocument.spreadsheetml.worksheet+xml"/>
  <Override PartName="/xl/worksheets/sheet579.xml" ContentType="application/vnd.openxmlformats-officedocument.spreadsheetml.worksheet+xml"/>
  <Override PartName="/xl/worksheets/sheet580.xml" ContentType="application/vnd.openxmlformats-officedocument.spreadsheetml.worksheet+xml"/>
  <Override PartName="/xl/worksheets/sheet581.xml" ContentType="application/vnd.openxmlformats-officedocument.spreadsheetml.worksheet+xml"/>
  <Override PartName="/xl/worksheets/sheet582.xml" ContentType="application/vnd.openxmlformats-officedocument.spreadsheetml.worksheet+xml"/>
  <Override PartName="/xl/worksheets/sheet583.xml" ContentType="application/vnd.openxmlformats-officedocument.spreadsheetml.worksheet+xml"/>
  <Override PartName="/xl/worksheets/sheet584.xml" ContentType="application/vnd.openxmlformats-officedocument.spreadsheetml.worksheet+xml"/>
  <Override PartName="/xl/worksheets/sheet585.xml" ContentType="application/vnd.openxmlformats-officedocument.spreadsheetml.worksheet+xml"/>
  <Override PartName="/xl/worksheets/sheet586.xml" ContentType="application/vnd.openxmlformats-officedocument.spreadsheetml.worksheet+xml"/>
  <Override PartName="/xl/worksheets/sheet587.xml" ContentType="application/vnd.openxmlformats-officedocument.spreadsheetml.worksheet+xml"/>
  <Override PartName="/xl/worksheets/sheet588.xml" ContentType="application/vnd.openxmlformats-officedocument.spreadsheetml.worksheet+xml"/>
  <Override PartName="/xl/worksheets/sheet589.xml" ContentType="application/vnd.openxmlformats-officedocument.spreadsheetml.worksheet+xml"/>
  <Override PartName="/xl/worksheets/sheet590.xml" ContentType="application/vnd.openxmlformats-officedocument.spreadsheetml.worksheet+xml"/>
  <Override PartName="/xl/worksheets/sheet591.xml" ContentType="application/vnd.openxmlformats-officedocument.spreadsheetml.worksheet+xml"/>
  <Override PartName="/xl/worksheets/sheet592.xml" ContentType="application/vnd.openxmlformats-officedocument.spreadsheetml.worksheet+xml"/>
  <Override PartName="/xl/worksheets/sheet593.xml" ContentType="application/vnd.openxmlformats-officedocument.spreadsheetml.worksheet+xml"/>
  <Override PartName="/xl/worksheets/sheet594.xml" ContentType="application/vnd.openxmlformats-officedocument.spreadsheetml.worksheet+xml"/>
  <Override PartName="/xl/worksheets/sheet595.xml" ContentType="application/vnd.openxmlformats-officedocument.spreadsheetml.worksheet+xml"/>
  <Override PartName="/xl/worksheets/sheet596.xml" ContentType="application/vnd.openxmlformats-officedocument.spreadsheetml.worksheet+xml"/>
  <Override PartName="/xl/worksheets/sheet597.xml" ContentType="application/vnd.openxmlformats-officedocument.spreadsheetml.worksheet+xml"/>
  <Override PartName="/xl/worksheets/sheet598.xml" ContentType="application/vnd.openxmlformats-officedocument.spreadsheetml.worksheet+xml"/>
  <Override PartName="/xl/worksheets/sheet599.xml" ContentType="application/vnd.openxmlformats-officedocument.spreadsheetml.worksheet+xml"/>
  <Override PartName="/xl/worksheets/sheet600.xml" ContentType="application/vnd.openxmlformats-officedocument.spreadsheetml.worksheet+xml"/>
  <Override PartName="/xl/worksheets/sheet601.xml" ContentType="application/vnd.openxmlformats-officedocument.spreadsheetml.worksheet+xml"/>
  <Override PartName="/xl/worksheets/sheet602.xml" ContentType="application/vnd.openxmlformats-officedocument.spreadsheetml.worksheet+xml"/>
  <Override PartName="/xl/worksheets/sheet603.xml" ContentType="application/vnd.openxmlformats-officedocument.spreadsheetml.worksheet+xml"/>
  <Override PartName="/xl/worksheets/sheet604.xml" ContentType="application/vnd.openxmlformats-officedocument.spreadsheetml.worksheet+xml"/>
  <Override PartName="/xl/worksheets/sheet605.xml" ContentType="application/vnd.openxmlformats-officedocument.spreadsheetml.worksheet+xml"/>
  <Override PartName="/xl/worksheets/sheet606.xml" ContentType="application/vnd.openxmlformats-officedocument.spreadsheetml.worksheet+xml"/>
  <Override PartName="/xl/worksheets/sheet607.xml" ContentType="application/vnd.openxmlformats-officedocument.spreadsheetml.worksheet+xml"/>
  <Override PartName="/xl/worksheets/sheet608.xml" ContentType="application/vnd.openxmlformats-officedocument.spreadsheetml.worksheet+xml"/>
  <Override PartName="/xl/worksheets/sheet609.xml" ContentType="application/vnd.openxmlformats-officedocument.spreadsheetml.worksheet+xml"/>
  <Override PartName="/xl/worksheets/sheet610.xml" ContentType="application/vnd.openxmlformats-officedocument.spreadsheetml.worksheet+xml"/>
  <Override PartName="/xl/worksheets/sheet611.xml" ContentType="application/vnd.openxmlformats-officedocument.spreadsheetml.worksheet+xml"/>
  <Override PartName="/xl/worksheets/sheet612.xml" ContentType="application/vnd.openxmlformats-officedocument.spreadsheetml.worksheet+xml"/>
  <Override PartName="/xl/worksheets/sheet613.xml" ContentType="application/vnd.openxmlformats-officedocument.spreadsheetml.worksheet+xml"/>
  <Override PartName="/xl/worksheets/sheet614.xml" ContentType="application/vnd.openxmlformats-officedocument.spreadsheetml.worksheet+xml"/>
  <Override PartName="/xl/worksheets/sheet615.xml" ContentType="application/vnd.openxmlformats-officedocument.spreadsheetml.worksheet+xml"/>
  <Override PartName="/xl/worksheets/sheet616.xml" ContentType="application/vnd.openxmlformats-officedocument.spreadsheetml.worksheet+xml"/>
  <Override PartName="/xl/worksheets/sheet617.xml" ContentType="application/vnd.openxmlformats-officedocument.spreadsheetml.worksheet+xml"/>
  <Override PartName="/xl/worksheets/sheet618.xml" ContentType="application/vnd.openxmlformats-officedocument.spreadsheetml.worksheet+xml"/>
  <Override PartName="/xl/worksheets/sheet619.xml" ContentType="application/vnd.openxmlformats-officedocument.spreadsheetml.worksheet+xml"/>
  <Override PartName="/xl/worksheets/sheet620.xml" ContentType="application/vnd.openxmlformats-officedocument.spreadsheetml.worksheet+xml"/>
  <Override PartName="/xl/worksheets/sheet621.xml" ContentType="application/vnd.openxmlformats-officedocument.spreadsheetml.worksheet+xml"/>
  <Override PartName="/xl/worksheets/sheet622.xml" ContentType="application/vnd.openxmlformats-officedocument.spreadsheetml.worksheet+xml"/>
  <Override PartName="/xl/worksheets/sheet623.xml" ContentType="application/vnd.openxmlformats-officedocument.spreadsheetml.worksheet+xml"/>
  <Override PartName="/xl/worksheets/sheet624.xml" ContentType="application/vnd.openxmlformats-officedocument.spreadsheetml.worksheet+xml"/>
  <Override PartName="/xl/worksheets/sheet625.xml" ContentType="application/vnd.openxmlformats-officedocument.spreadsheetml.worksheet+xml"/>
  <Override PartName="/xl/worksheets/sheet626.xml" ContentType="application/vnd.openxmlformats-officedocument.spreadsheetml.worksheet+xml"/>
  <Override PartName="/xl/worksheets/sheet627.xml" ContentType="application/vnd.openxmlformats-officedocument.spreadsheetml.worksheet+xml"/>
  <Override PartName="/xl/worksheets/sheet628.xml" ContentType="application/vnd.openxmlformats-officedocument.spreadsheetml.worksheet+xml"/>
  <Override PartName="/xl/worksheets/sheet629.xml" ContentType="application/vnd.openxmlformats-officedocument.spreadsheetml.worksheet+xml"/>
  <Override PartName="/xl/worksheets/sheet630.xml" ContentType="application/vnd.openxmlformats-officedocument.spreadsheetml.worksheet+xml"/>
  <Override PartName="/xl/worksheets/sheet6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MCO Payment\"/>
    </mc:Choice>
  </mc:AlternateContent>
  <xr:revisionPtr revIDLastSave="0" documentId="13_ncr:1_{282D5405-260C-4EFE-8240-BB165AEB6A55}" xr6:coauthVersionLast="45" xr6:coauthVersionMax="45" xr10:uidLastSave="{00000000-0000-0000-0000-000000000000}"/>
  <bookViews>
    <workbookView xWindow="-120" yWindow="-120" windowWidth="20730" windowHeight="11160" tabRatio="873" firstSheet="471" activeTab="482" xr2:uid="{00000000-000D-0000-FFFF-FFFF00000000}"/>
  </bookViews>
  <sheets>
    <sheet name="Star (2)" sheetId="317" r:id="rId1"/>
    <sheet name="Telekom (3)" sheetId="267" r:id="rId2"/>
    <sheet name="Persatuan Kesenian" sheetId="233" r:id="rId3"/>
    <sheet name="Sunway Biz" sheetId="479" r:id="rId4"/>
    <sheet name="Sarl Cleverois" sheetId="515" r:id="rId5"/>
    <sheet name="Travelogy (2)" sheetId="549" r:id="rId6"/>
    <sheet name="Seow Ai See (Petty Cash)" sheetId="639" r:id="rId7"/>
    <sheet name="Siridhar" sheetId="651" r:id="rId8"/>
    <sheet name="Sojern Limited" sheetId="653" r:id="rId9"/>
    <sheet name="Shopback" sheetId="659" r:id="rId10"/>
    <sheet name="Semangat Kiwi" sheetId="575" r:id="rId11"/>
    <sheet name="Trip.com" sheetId="626" r:id="rId12"/>
    <sheet name="Shinaji Sdn Bhd" sheetId="641" r:id="rId13"/>
    <sheet name="Shanghai Ctrip" sheetId="625" r:id="rId14"/>
    <sheet name="Empty" sheetId="635" r:id="rId15"/>
    <sheet name="SMKP George Town" sheetId="637" r:id="rId16"/>
    <sheet name="Silver Ant (SG)" sheetId="617" r:id="rId17"/>
    <sheet name="SL Elec" sheetId="595" r:id="rId18"/>
    <sheet name="Smart Way" sheetId="629" r:id="rId19"/>
    <sheet name="SK Vacation" sheetId="599" r:id="rId20"/>
    <sheet name="Shanghai" sheetId="588" r:id="rId21"/>
    <sheet name=" Shangrila2" sheetId="604" r:id="rId22"/>
    <sheet name="Silver Ant" sheetId="608" r:id="rId23"/>
    <sheet name="Sure Commerce" sheetId="591" r:id="rId24"/>
    <sheet name="Sung Yunmo" sheetId="577" r:id="rId25"/>
    <sheet name="Schenker" sheetId="529" r:id="rId26"/>
    <sheet name="Sim Mei Wan" sheetId="572" r:id="rId27"/>
    <sheet name="Sitehost" sheetId="541" r:id="rId28"/>
    <sheet name="Sun Moon Tour" sheetId="544" r:id="rId29"/>
    <sheet name="Shimai" sheetId="524" r:id="rId30"/>
    <sheet name="Spafax" sheetId="525" r:id="rId31"/>
    <sheet name="Sim Chew Teik BUs" sheetId="502" r:id="rId32"/>
    <sheet name="Seven Terraces" sheetId="519" r:id="rId33"/>
    <sheet name="Safrizal" sheetId="209" r:id="rId34"/>
    <sheet name="Super Sparks" sheetId="520" r:id="rId35"/>
    <sheet name="Supersonic" sheetId="501" r:id="rId36"/>
    <sheet name="Sharon Saw" sheetId="460" r:id="rId37"/>
    <sheet name="Sync" sheetId="478" r:id="rId38"/>
    <sheet name="Shanghai Spring" sheetId="494" r:id="rId39"/>
    <sheet name="SMI Holiday" sheetId="470" r:id="rId40"/>
    <sheet name="Singapore Airlines" sheetId="473" r:id="rId41"/>
    <sheet name="Singapore Airlines (2)" sheetId="484" r:id="rId42"/>
    <sheet name="Singapore Airlines (3)" sheetId="498" r:id="rId43"/>
    <sheet name="SilkAir Limited" sheetId="480" r:id="rId44"/>
    <sheet name="SuperSparks" sheetId="444" r:id="rId45"/>
    <sheet name="Syarikat WKM" sheetId="406" r:id="rId46"/>
    <sheet name="Segi" sheetId="417" r:id="rId47"/>
    <sheet name="Sledgehammer" sheetId="458" r:id="rId48"/>
    <sheet name="Saigon Boulevard" sheetId="453" r:id="rId49"/>
    <sheet name="Southern Media" sheetId="419" r:id="rId50"/>
    <sheet name="Shimai Ent" sheetId="441" r:id="rId51"/>
    <sheet name="Solid Equipment" sheetId="422" r:id="rId52"/>
    <sheet name="Salient Glory" sheetId="420" r:id="rId53"/>
    <sheet name="Sevena" sheetId="416" r:id="rId54"/>
    <sheet name="Saivision " sheetId="389" r:id="rId55"/>
    <sheet name="Sherwynd" sheetId="410" r:id="rId56"/>
    <sheet name="Silkair" sheetId="387" r:id="rId57"/>
    <sheet name="Sykt Libraco" sheetId="400" r:id="rId58"/>
    <sheet name="Shyaamala" sheetId="330" r:id="rId59"/>
    <sheet name="Nanjing Tuniu" sheetId="528" r:id="rId60"/>
    <sheet name="ROD Creative (2)" sheetId="589" r:id="rId61"/>
    <sheet name="Natthineethiti" sheetId="587" r:id="rId62"/>
    <sheet name="NTour" sheetId="607" r:id="rId63"/>
    <sheet name="NCC" sheetId="483" r:id="rId64"/>
    <sheet name="Next Trend" sheetId="550" r:id="rId65"/>
    <sheet name="Niche Forte" sheetId="531" r:id="rId66"/>
    <sheet name="Noor Azman" sheetId="579" r:id="rId67"/>
    <sheet name="New Base" sheetId="546" r:id="rId68"/>
    <sheet name="Nhan Doanh" sheetId="527" r:id="rId69"/>
    <sheet name="Neo Sentuhan" sheetId="467" r:id="rId70"/>
    <sheet name="Narwinjit" sheetId="331" r:id="rId71"/>
    <sheet name="Siti Nora" sheetId="363" r:id="rId72"/>
    <sheet name="Synchrosound" sheetId="375" r:id="rId73"/>
    <sheet name="St John" sheetId="374" r:id="rId74"/>
    <sheet name="Silicon Tech" sheetId="384" r:id="rId75"/>
    <sheet name="SOZO" sheetId="371" r:id="rId76"/>
    <sheet name="Su Aziz" sheetId="352" r:id="rId77"/>
    <sheet name="Sloane" sheetId="367" r:id="rId78"/>
    <sheet name="One FM" sheetId="382" r:id="rId79"/>
    <sheet name="Shun Jian Howe" sheetId="366" r:id="rId80"/>
    <sheet name="Sunshine Surge" sheetId="350" r:id="rId81"/>
    <sheet name="Says Youth Society" sheetId="344" r:id="rId82"/>
    <sheet name="SooHo" sheetId="340" r:id="rId83"/>
    <sheet name="TG Solutions" sheetId="532" r:id="rId84"/>
    <sheet name="Takaful" sheetId="523" r:id="rId85"/>
    <sheet name="Tan Seang Aun" sheetId="512" r:id="rId86"/>
    <sheet name="The Spring" sheetId="497" r:id="rId87"/>
    <sheet name="The Shore" sheetId="491" r:id="rId88"/>
    <sheet name="Trinity Diligent" sheetId="496" r:id="rId89"/>
    <sheet name="Thai INt Fair" sheetId="481" r:id="rId90"/>
    <sheet name="Time Tunnel" sheetId="472" r:id="rId91"/>
    <sheet name="Titan" sheetId="455" r:id="rId92"/>
    <sheet name="Travel Expert" sheetId="449" r:id="rId93"/>
    <sheet name="Toong Li" sheetId="360" r:id="rId94"/>
    <sheet name="The Mira HK" sheetId="289" r:id="rId95"/>
    <sheet name="Telekom" sheetId="186" r:id="rId96"/>
    <sheet name="Telekom (2)" sheetId="225" r:id="rId97"/>
    <sheet name="Tan Chong Lum" sheetId="274" r:id="rId98"/>
    <sheet name="The Art of Siang" sheetId="299" r:id="rId99"/>
    <sheet name="Think City" sheetId="247" r:id="rId100"/>
    <sheet name="Tan Chee Hean" sheetId="246" r:id="rId101"/>
    <sheet name="The Howard Plaza" sheetId="238" r:id="rId102"/>
    <sheet name="TM" sheetId="171" r:id="rId103"/>
    <sheet name="Fatin Faieznur" sheetId="253" r:id="rId104"/>
    <sheet name="NewFair" sheetId="451" r:id="rId105"/>
    <sheet name="Nabil Akram" sheetId="439" r:id="rId106"/>
    <sheet name="Ng See Lok" sheetId="403" r:id="rId107"/>
    <sheet name="New World" sheetId="347" r:id="rId108"/>
    <sheet name="Nur Hafizah" sheetId="281" r:id="rId109"/>
    <sheet name="Nurfaizah" sheetId="252" r:id="rId110"/>
    <sheet name="Noor Hayati" sheetId="262" r:id="rId111"/>
    <sheet name="Norizeight" sheetId="239" r:id="rId112"/>
    <sheet name="Neoh" sheetId="159" r:id="rId113"/>
    <sheet name="Nursuliana" sheetId="229" r:id="rId114"/>
    <sheet name="Neoh Chee Jin" sheetId="146" r:id="rId115"/>
    <sheet name="Nachima" sheetId="16" r:id="rId116"/>
    <sheet name="NTC Msia" sheetId="17" r:id="rId117"/>
    <sheet name="Nur " sheetId="200" r:id="rId118"/>
    <sheet name="Nurliyana" sheetId="211" r:id="rId119"/>
    <sheet name="Nurul Iman" sheetId="212" r:id="rId120"/>
    <sheet name="Ng Chun How" sheetId="208" r:id="rId121"/>
    <sheet name="NPower" sheetId="192" r:id="rId122"/>
    <sheet name="New perspective" sheetId="18" r:id="rId123"/>
    <sheet name="Newspaper-Sundram" sheetId="19" r:id="rId124"/>
    <sheet name="Nuradila" sheetId="130" r:id="rId125"/>
    <sheet name="New Bob" sheetId="131" r:id="rId126"/>
    <sheet name="Narinder" sheetId="132" r:id="rId127"/>
    <sheet name="Noor Intan" sheetId="133" r:id="rId128"/>
    <sheet name="NL" sheetId="134" r:id="rId129"/>
    <sheet name="Orkes" sheetId="271" r:id="rId130"/>
    <sheet name="OE" sheetId="218" r:id="rId131"/>
    <sheet name="Ong Ab Bey" sheetId="279" r:id="rId132"/>
    <sheet name="Opera" sheetId="283" r:id="rId133"/>
    <sheet name="Overseas" sheetId="305" r:id="rId134"/>
    <sheet name="Ong Jin Teong" sheetId="320" r:id="rId135"/>
    <sheet name="OBS" sheetId="345" r:id="rId136"/>
    <sheet name="Ong Reno" sheetId="368" r:id="rId137"/>
    <sheet name="Olympia" sheetId="408" r:id="rId138"/>
    <sheet name="One Image" sheetId="411" r:id="rId139"/>
    <sheet name="Olive Tree" sheetId="412" r:id="rId140"/>
    <sheet name="Worldwide" sheetId="256" r:id="rId141"/>
    <sheet name="Optimal Media" sheetId="433" r:id="rId142"/>
    <sheet name="Ong Yen Meng" sheetId="510" r:id="rId143"/>
    <sheet name="Osaka St Regis" sheetId="547" r:id="rId144"/>
    <sheet name="Ong Teik Hin" sheetId="649" r:id="rId145"/>
    <sheet name="One Cool" sheetId="658" r:id="rId146"/>
    <sheet name="Ooi &amp; Associates" sheetId="428" r:id="rId147"/>
    <sheet name="Oon Kok Eu" sheetId="398" r:id="rId148"/>
    <sheet name="Ooi Chok Yan" sheetId="339" r:id="rId149"/>
    <sheet name="Ooi Choon Eng" sheetId="276" r:id="rId150"/>
    <sheet name="Omega" sheetId="214" r:id="rId151"/>
    <sheet name="Omega (2)" sheetId="291" r:id="rId152"/>
    <sheet name="OSY" sheetId="206" r:id="rId153"/>
    <sheet name="Oriental" sheetId="173" r:id="rId154"/>
    <sheet name="One Green Synergy" sheetId="167" r:id="rId155"/>
    <sheet name="Ozio Holidays" sheetId="160" r:id="rId156"/>
    <sheet name="OHL" sheetId="129" r:id="rId157"/>
    <sheet name="OGL claim" sheetId="20" r:id="rId158"/>
    <sheet name="Ong Yi Ling" sheetId="21" r:id="rId159"/>
    <sheet name="Ong" sheetId="22" r:id="rId160"/>
    <sheet name="AdvOng" sheetId="23" r:id="rId161"/>
    <sheet name="Ooi Geok Ling" sheetId="24" r:id="rId162"/>
    <sheet name="Ooi Geok Ling (2)" sheetId="326" r:id="rId163"/>
    <sheet name="OGL" sheetId="25" r:id="rId164"/>
    <sheet name="Ong Bee Lee" sheetId="122" r:id="rId165"/>
    <sheet name="Pacific World" sheetId="610" r:id="rId166"/>
    <sheet name="Pan Pacific" sheetId="612" r:id="rId167"/>
    <sheet name="Pt Elite" sheetId="459" r:id="rId168"/>
    <sheet name="P T MSW Global" sheetId="537" r:id="rId169"/>
    <sheet name="Premium Minds" sheetId="530" r:id="rId170"/>
    <sheet name="Perk 1" sheetId="553" r:id="rId171"/>
    <sheet name="Pixel Agent Studio" sheetId="462" r:id="rId172"/>
    <sheet name="PWPA" sheetId="642" r:id="rId173"/>
    <sheet name="Pg Holiao" sheetId="457" r:id="rId174"/>
    <sheet name="PICEB" sheetId="454" r:id="rId175"/>
    <sheet name="ProArt" sheetId="285" r:id="rId176"/>
    <sheet name="Penang Art Society" sheetId="284" r:id="rId177"/>
    <sheet name="PT Wira" sheetId="261" r:id="rId178"/>
    <sheet name="Persatuan Chingay" sheetId="254" r:id="rId179"/>
    <sheet name="Pelindung Dahan Sdn Bhd" sheetId="250" r:id="rId180"/>
    <sheet name="Penang Institute" sheetId="249" r:id="rId181"/>
    <sheet name="PDC Consultancy" sheetId="207" r:id="rId182"/>
    <sheet name="President(parkroyal)" sheetId="243" r:id="rId183"/>
    <sheet name="Pertubuhan (2)" sheetId="244" r:id="rId184"/>
    <sheet name="President Hotel" sheetId="241" r:id="rId185"/>
    <sheet name="PIBG" sheetId="234" r:id="rId186"/>
    <sheet name="Persatuan Pendidikan" sheetId="232" r:id="rId187"/>
    <sheet name="Penang Ladies" sheetId="220" r:id="rId188"/>
    <sheet name="Paul Charles" sheetId="215" r:id="rId189"/>
    <sheet name="Telekom (4)" sheetId="298" r:id="rId190"/>
    <sheet name="Penang Philharmonic" sheetId="219" r:id="rId191"/>
    <sheet name="PT Berlian" sheetId="210" r:id="rId192"/>
    <sheet name="Premier Sports" sheetId="204" r:id="rId193"/>
    <sheet name="Plenitidu" sheetId="203" r:id="rId194"/>
    <sheet name="PGT" sheetId="201" r:id="rId195"/>
    <sheet name="Palanivelo " sheetId="199" r:id="rId196"/>
    <sheet name="Paragon C" sheetId="198" r:id="rId197"/>
    <sheet name="Phar" sheetId="196" r:id="rId198"/>
    <sheet name="Pos Malaysia Berhad (2)" sheetId="187" r:id="rId199"/>
    <sheet name="Pico2" sheetId="183" r:id="rId200"/>
    <sheet name="P.Kebudayaan" sheetId="179" r:id="rId201"/>
    <sheet name="PTI" sheetId="176" r:id="rId202"/>
    <sheet name="PHC" sheetId="164" r:id="rId203"/>
    <sheet name="Panca2" sheetId="154" r:id="rId204"/>
    <sheet name="Perut Rumah2" sheetId="155" r:id="rId205"/>
    <sheet name="Pro-tents" sheetId="152" r:id="rId206"/>
    <sheet name="Priority" sheetId="26" r:id="rId207"/>
    <sheet name="PST" sheetId="603" r:id="rId208"/>
    <sheet name="PGCC" sheetId="143" r:id="rId209"/>
    <sheet name="PATA (2)" sheetId="27" r:id="rId210"/>
    <sheet name="PATA" sheetId="28" r:id="rId211"/>
    <sheet name="Peter" sheetId="29" r:id="rId212"/>
    <sheet name="Pancaragam Union" sheetId="245" r:id="rId213"/>
    <sheet name="Prime " sheetId="258" r:id="rId214"/>
    <sheet name="Pewter Art1" sheetId="263" r:id="rId215"/>
    <sheet name="PEEC" sheetId="266" r:id="rId216"/>
    <sheet name="PEEC (2)" sheetId="288" r:id="rId217"/>
    <sheet name="Pak Khai Lin" sheetId="268" r:id="rId218"/>
    <sheet name="Parkroyal" sheetId="280" r:id="rId219"/>
    <sheet name="Protents" sheetId="292" r:id="rId220"/>
    <sheet name="PICO Art" sheetId="296" r:id="rId221"/>
    <sheet name="PTS" sheetId="302" r:id="rId222"/>
    <sheet name="PTS (2)" sheetId="605" r:id="rId223"/>
    <sheet name="Palmco" sheetId="306" r:id="rId224"/>
    <sheet name="Penang Hill" sheetId="307" r:id="rId225"/>
    <sheet name="Pewter Art2" sheetId="313" r:id="rId226"/>
    <sheet name="Penelope" sheetId="315" r:id="rId227"/>
    <sheet name="PATA1" sheetId="323" r:id="rId228"/>
    <sheet name="Pubicitas" sheetId="327" r:id="rId229"/>
    <sheet name="PIHH" sheetId="328" r:id="rId230"/>
    <sheet name="PIBG SEK" sheetId="351" r:id="rId231"/>
    <sheet name="Penang Hill2" sheetId="365" r:id="rId232"/>
    <sheet name="P&amp;G" sheetId="377" r:id="rId233"/>
    <sheet name="PenExpo" sheetId="380" r:id="rId234"/>
    <sheet name="Park Tree" sheetId="390" r:id="rId235"/>
    <sheet name="Penangnites" sheetId="391" r:id="rId236"/>
    <sheet name="PIBG SM Han Chiang" sheetId="404" r:id="rId237"/>
    <sheet name="Poteto" sheetId="413" r:id="rId238"/>
    <sheet name="PSDC" sheetId="414" r:id="rId239"/>
    <sheet name="Penang Institute1" sheetId="421" r:id="rId240"/>
    <sheet name="Yee Zen Ming Ent" sheetId="474" r:id="rId241"/>
    <sheet name="Performance" sheetId="424" r:id="rId242"/>
    <sheet name="PT Hardaya" sheetId="429" r:id="rId243"/>
    <sheet name="PT Maju Ika Jaya" sheetId="430" r:id="rId244"/>
    <sheet name="Penang Port" sheetId="434" r:id="rId245"/>
    <sheet name="Parazee" sheetId="435" r:id="rId246"/>
    <sheet name="Penang Tourist Centre" sheetId="436" r:id="rId247"/>
    <sheet name="Platinum" sheetId="438" r:id="rId248"/>
    <sheet name="Penang Batik" sheetId="440" r:id="rId249"/>
    <sheet name="P.T NSW Global" sheetId="452" r:id="rId250"/>
    <sheet name="Pinang Peranakan" sheetId="456" r:id="rId251"/>
    <sheet name="Premier Holidays" sheetId="466" r:id="rId252"/>
    <sheet name="Penang Batik2" sheetId="490" r:id="rId253"/>
    <sheet name="PGT2" sheetId="492" r:id="rId254"/>
    <sheet name="Perk" sheetId="504" r:id="rId255"/>
    <sheet name="PwC" sheetId="507" r:id="rId256"/>
    <sheet name="Pinang Canvas" sheetId="514" r:id="rId257"/>
    <sheet name="Pinnacle Nexus" sheetId="517" r:id="rId258"/>
    <sheet name="Oon Kok Eu (2)" sheetId="518" r:id="rId259"/>
    <sheet name="Philippines AA" sheetId="526" r:id="rId260"/>
    <sheet name="Palita" sheetId="533" r:id="rId261"/>
    <sheet name="Pico HCM" sheetId="536" r:id="rId262"/>
    <sheet name="MCTA" sheetId="647" r:id="rId263"/>
    <sheet name="Mon Reve Talent" sheetId="573" r:id="rId264"/>
    <sheet name="Me Sketch" sheetId="539" r:id="rId265"/>
    <sheet name="PT Indonesia AirAsia" sheetId="543" r:id="rId266"/>
    <sheet name="Pen Ads" sheetId="551" r:id="rId267"/>
    <sheet name="PIBG Padang Polo" sheetId="554" r:id="rId268"/>
    <sheet name="Pt Toni" sheetId="556" r:id="rId269"/>
    <sheet name="PIBG Puan Habsah" sheetId="557" r:id="rId270"/>
    <sheet name="PIBG SK Residensi" sheetId="596" r:id="rId271"/>
    <sheet name="PIBG St George" sheetId="601" r:id="rId272"/>
    <sheet name="PT Citilink" sheetId="562" r:id="rId273"/>
    <sheet name="Part of You" sheetId="574" r:id="rId274"/>
    <sheet name="Premium" sheetId="580" r:id="rId275"/>
    <sheet name="PT Multi" sheetId="602" r:id="rId276"/>
    <sheet name="Point Cast" sheetId="606" r:id="rId277"/>
    <sheet name="Playdestinations" sheetId="615" r:id="rId278"/>
    <sheet name="Pixio" sheetId="628" r:id="rId279"/>
    <sheet name="PT Radio " sheetId="630" r:id="rId280"/>
    <sheet name="Prasarana" sheetId="632" r:id="rId281"/>
    <sheet name="Project Root2" sheetId="634" r:id="rId282"/>
    <sheet name="PT Multikreasi" sheetId="636" r:id="rId283"/>
    <sheet name="Pt Sativa Wisata" sheetId="638" r:id="rId284"/>
    <sheet name="Parasign" sheetId="643" r:id="rId285"/>
    <sheet name="Platinum Paradise" sheetId="644" r:id="rId286"/>
    <sheet name="Peanut" sheetId="655" r:id="rId287"/>
    <sheet name="PPH" sheetId="590" r:id="rId288"/>
    <sheet name="PPM" sheetId="277" r:id="rId289"/>
    <sheet name="PGC Strategies" sheetId="542" r:id="rId290"/>
    <sheet name="PT Indonesia" sheetId="482" r:id="rId291"/>
    <sheet name="PMC" sheetId="447" r:id="rId292"/>
    <sheet name="PP Setia" sheetId="30" r:id="rId293"/>
    <sheet name="PIBG Chong Cheng" sheetId="242" r:id="rId294"/>
    <sheet name="Parvenna" sheetId="31" r:id="rId295"/>
    <sheet name="PCB" sheetId="32" r:id="rId296"/>
    <sheet name="1PDC" sheetId="33" r:id="rId297"/>
    <sheet name="PDC1" sheetId="34" r:id="rId298"/>
    <sheet name="PDC2" sheetId="35" r:id="rId299"/>
    <sheet name="PDC Premier" sheetId="36" r:id="rId300"/>
    <sheet name="PDC Premier1" sheetId="37" r:id="rId301"/>
    <sheet name="Parveena" sheetId="38" r:id="rId302"/>
    <sheet name="Pevandeep" sheetId="39" r:id="rId303"/>
    <sheet name="PCP" sheetId="40" r:id="rId304"/>
    <sheet name="Persatuan Sikh" sheetId="41" r:id="rId305"/>
    <sheet name="Pentech" sheetId="42" r:id="rId306"/>
    <sheet name="Pen'ads" sheetId="43" r:id="rId307"/>
    <sheet name="PhotoCreatorPublication" sheetId="44" r:id="rId308"/>
    <sheet name="PersatuanSukan&amp;Kebud'anTionghua" sheetId="45" r:id="rId309"/>
    <sheet name="PersatuanTeong Guan" sheetId="46" r:id="rId310"/>
    <sheet name="Pinang" sheetId="47" r:id="rId311"/>
    <sheet name="PinangExhi" sheetId="48" r:id="rId312"/>
    <sheet name="PCTH" sheetId="49" r:id="rId313"/>
    <sheet name="Philatelic" sheetId="50" r:id="rId314"/>
    <sheet name="Pico" sheetId="51" r:id="rId315"/>
    <sheet name="Pg I Dragon B Fes" sheetId="52" r:id="rId316"/>
    <sheet name="Pg Forward" sheetId="53" r:id="rId317"/>
    <sheet name="PFS Movie" sheetId="54" r:id="rId318"/>
    <sheet name="Pelukis Cat" sheetId="55" r:id="rId319"/>
    <sheet name="Putrade" sheetId="56" r:id="rId320"/>
    <sheet name="PTGA" sheetId="57" r:id="rId321"/>
    <sheet name="PT Tahta" sheetId="58" r:id="rId322"/>
    <sheet name="Pressgroup" sheetId="59" r:id="rId323"/>
    <sheet name="Pico S'ng" sheetId="60" r:id="rId324"/>
    <sheet name="PICO Art (2)" sheetId="611" r:id="rId325"/>
    <sheet name="Print Station" sheetId="61" r:id="rId326"/>
    <sheet name="Pek Kong BM" sheetId="110" r:id="rId327"/>
    <sheet name="PSA" sheetId="111" r:id="rId328"/>
    <sheet name="Pewter Art" sheetId="112" r:id="rId329"/>
    <sheet name="Punjaban" sheetId="113" r:id="rId330"/>
    <sheet name="Peace Run" sheetId="114" r:id="rId331"/>
    <sheet name="Paragon" sheetId="115" r:id="rId332"/>
    <sheet name="Pg Ballroom" sheetId="116" r:id="rId333"/>
    <sheet name="PgHeritageT" sheetId="117" r:id="rId334"/>
    <sheet name="Poh Hock Seah" sheetId="118" r:id="rId335"/>
    <sheet name="Panca" sheetId="119" r:id="rId336"/>
    <sheet name="Peter Huang" sheetId="120" r:id="rId337"/>
    <sheet name="Pressgroup (2)" sheetId="121" r:id="rId338"/>
    <sheet name="Perut Rumah" sheetId="124" r:id="rId339"/>
    <sheet name="Palanivelo" sheetId="139" r:id="rId340"/>
    <sheet name="Petty cash" sheetId="62" r:id="rId341"/>
    <sheet name="Qisdayana Boutique" sheetId="235" r:id="rId342"/>
    <sheet name="Qatar" sheetId="522" r:id="rId343"/>
    <sheet name="Qatar Airways" sheetId="558" r:id="rId344"/>
    <sheet name="Qatar Airways (2)" sheetId="559" r:id="rId345"/>
    <sheet name="Qatar Airways (3)" sheetId="563" r:id="rId346"/>
    <sheet name="Qatar Airways (4)" sheetId="564" r:id="rId347"/>
    <sheet name="Qatar Airways (5)" sheetId="570" r:id="rId348"/>
    <sheet name="QEII" sheetId="349" r:id="rId349"/>
    <sheet name="Qube" sheetId="63" r:id="rId350"/>
    <sheet name="Red Star" sheetId="310" r:id="rId351"/>
    <sheet name="Rapid Ferry" sheetId="656" r:id="rId352"/>
    <sheet name="Roshena" sheetId="654" r:id="rId353"/>
    <sheet name="Ravi Sharma" sheetId="545" r:id="rId354"/>
    <sheet name="Rainbow Leisure" sheetId="623" r:id="rId355"/>
    <sheet name="RiseGroupe" sheetId="586" r:id="rId356"/>
    <sheet name="Rela Timur" sheetId="521" r:id="rId357"/>
    <sheet name="Riverbug" sheetId="509" r:id="rId358"/>
    <sheet name="RHB" sheetId="476" r:id="rId359"/>
    <sheet name="Regent Media" sheetId="469" r:id="rId360"/>
    <sheet name="Rela Timur Laut" sheetId="475" r:id="rId361"/>
    <sheet name="Rexpo Centra" sheetId="465" r:id="rId362"/>
    <sheet name="Rapid 3" sheetId="378" r:id="rId363"/>
    <sheet name="Reed" sheetId="445" r:id="rId364"/>
    <sheet name="Roslin bin Saidin" sheetId="437" r:id="rId365"/>
    <sheet name="Ross Stephenson" sheetId="571" r:id="rId366"/>
    <sheet name="Riza" sheetId="431" r:id="rId367"/>
    <sheet name="RedBerry" sheetId="409" r:id="rId368"/>
    <sheet name="RedBerry Outdoors" sheetId="618" r:id="rId369"/>
    <sheet name="Redtone" sheetId="405" r:id="rId370"/>
    <sheet name="Rickveen" sheetId="402" r:id="rId371"/>
    <sheet name="Renaissance Pewter" sheetId="401" r:id="rId372"/>
    <sheet name="ROD Creative" sheetId="394" r:id="rId373"/>
    <sheet name="Richelle" sheetId="393" r:id="rId374"/>
    <sheet name="Revatic" sheetId="383" r:id="rId375"/>
    <sheet name="Richelle Ann" sheetId="392" r:id="rId376"/>
    <sheet name="Roda" sheetId="379" r:id="rId377"/>
    <sheet name="Republic" sheetId="297" r:id="rId378"/>
    <sheet name="Real Film" sheetId="376" r:id="rId379"/>
    <sheet name="Rainbowfield" sheetId="341" r:id="rId380"/>
    <sheet name="Rising One" sheetId="353" r:id="rId381"/>
    <sheet name="Rapid 2" sheetId="311" r:id="rId382"/>
    <sheet name="Radius" sheetId="290" r:id="rId383"/>
    <sheet name="Roslin" sheetId="240" r:id="rId384"/>
    <sheet name="Roselyn" sheetId="217" r:id="rId385"/>
    <sheet name="Rainbow" sheetId="205" r:id="rId386"/>
    <sheet name="R.Kanesan" sheetId="195" r:id="rId387"/>
    <sheet name="Reka Art Space" sheetId="181" r:id="rId388"/>
    <sheet name="Rizal" sheetId="64" r:id="rId389"/>
    <sheet name="Rosnah" sheetId="65" r:id="rId390"/>
    <sheet name="Rohani" sheetId="66" r:id="rId391"/>
    <sheet name="Rebecca" sheetId="67" r:id="rId392"/>
    <sheet name="Ruai" sheetId="68" r:id="rId393"/>
    <sheet name="Red Rock" sheetId="69" r:id="rId394"/>
    <sheet name="Rain Prod" sheetId="70" r:id="rId395"/>
    <sheet name="Rapid" sheetId="126" r:id="rId396"/>
    <sheet name="RA MSG" sheetId="127" r:id="rId397"/>
    <sheet name="Ricoh-photostat" sheetId="71" r:id="rId398"/>
    <sheet name="Scrip" sheetId="322" r:id="rId399"/>
    <sheet name="Shenzhen " sheetId="495" r:id="rId400"/>
    <sheet name="Skyzone" sheetId="348" r:id="rId401"/>
    <sheet name="Stellar Forward" sheetId="343" r:id="rId402"/>
    <sheet name="Sin Hin " sheetId="312" r:id="rId403"/>
    <sheet name="SKAL Pg" sheetId="324" r:id="rId404"/>
    <sheet name="Suriana" sheetId="304" r:id="rId405"/>
    <sheet name="Sagar" sheetId="264" r:id="rId406"/>
    <sheet name="Sage" sheetId="275" r:id="rId407"/>
    <sheet name="Shockwave" sheetId="270" r:id="rId408"/>
    <sheet name="Study Malaysia" sheetId="269" r:id="rId409"/>
    <sheet name="Shin Yaera" sheetId="265" r:id="rId410"/>
    <sheet name="Surayah Abd Aziz" sheetId="251" r:id="rId411"/>
    <sheet name="SLE Events" sheetId="236" r:id="rId412"/>
    <sheet name="Spiral Synergy" sheetId="231" r:id="rId413"/>
    <sheet name="Sarass" sheetId="230" r:id="rId414"/>
    <sheet name="SGS Band" sheetId="228" r:id="rId415"/>
    <sheet name="Sitra" sheetId="194" r:id="rId416"/>
    <sheet name="Star" sheetId="216" r:id="rId417"/>
    <sheet name="Straits" sheetId="185" r:id="rId418"/>
    <sheet name="Song" sheetId="184" r:id="rId419"/>
    <sheet name="Studio Howard" sheetId="182" r:id="rId420"/>
    <sheet name="SQCC" sheetId="175" r:id="rId421"/>
    <sheet name="Sunway" sheetId="174" r:id="rId422"/>
    <sheet name="Syarinor" sheetId="168" r:id="rId423"/>
    <sheet name="Shangrila" sheetId="157" r:id="rId424"/>
    <sheet name="SBS Transit" sheetId="153" r:id="rId425"/>
    <sheet name="Soroptimist" sheetId="161" r:id="rId426"/>
    <sheet name="Seow Ai See" sheetId="142" r:id="rId427"/>
    <sheet name="Syarikat Percetakan Irisan" sheetId="144" r:id="rId428"/>
    <sheet name="Sim S Min" sheetId="72" r:id="rId429"/>
    <sheet name="Stamping" sheetId="73" r:id="rId430"/>
    <sheet name="Socso" sheetId="74" r:id="rId431"/>
    <sheet name="Sharon J" sheetId="75" r:id="rId432"/>
    <sheet name="Sharon Khoo" sheetId="76" r:id="rId433"/>
    <sheet name="Sterling" sheetId="77" r:id="rId434"/>
    <sheet name="Sharonpettycash" sheetId="78" r:id="rId435"/>
    <sheet name="Straits Collection" sheetId="79" r:id="rId436"/>
    <sheet name="Swisspac" sheetId="80" r:id="rId437"/>
    <sheet name="Shaikh" sheetId="81" r:id="rId438"/>
    <sheet name="Susan" sheetId="82" r:id="rId439"/>
    <sheet name="Siah" sheetId="83" r:id="rId440"/>
    <sheet name="Spring Prod" sheetId="84" r:id="rId441"/>
    <sheet name="Seong Tay Kong" sheetId="85" r:id="rId442"/>
    <sheet name="Scrabble" sheetId="86" r:id="rId443"/>
    <sheet name="Sin Kung" sheetId="87" r:id="rId444"/>
    <sheet name="Sikh" sheetId="88" r:id="rId445"/>
    <sheet name="Sharifah" sheetId="89" r:id="rId446"/>
    <sheet name="State Chinese" sheetId="90" r:id="rId447"/>
    <sheet name="Somerset" sheetId="91" r:id="rId448"/>
    <sheet name="Sunrise Perspective" sheetId="92" r:id="rId449"/>
    <sheet name="Sim Kok Jiun" sheetId="93" r:id="rId450"/>
    <sheet name="Syarikat Perniagaan Jayamas" sheetId="149" r:id="rId451"/>
    <sheet name="Top One" sheetId="227" r:id="rId452"/>
    <sheet name="TKS" sheetId="224" r:id="rId453"/>
    <sheet name="Top Up" sheetId="226" r:id="rId454"/>
    <sheet name="Tong Yan" sheetId="223" r:id="rId455"/>
    <sheet name="The Capricorn" sheetId="193" r:id="rId456"/>
    <sheet name="Toh Wie Chun" sheetId="202" r:id="rId457"/>
    <sheet name="Tokyo" sheetId="282" r:id="rId458"/>
    <sheet name="The China Press" sheetId="286" r:id="rId459"/>
    <sheet name="The Edge" sheetId="294" r:id="rId460"/>
    <sheet name="Toh Kim Hock" sheetId="308" r:id="rId461"/>
    <sheet name="Thai" sheetId="309" r:id="rId462"/>
    <sheet name="The Phoenix" sheetId="314" r:id="rId463"/>
    <sheet name="Teik Hin" sheetId="316" r:id="rId464"/>
    <sheet name="Today Lifestyle" sheetId="329" r:id="rId465"/>
    <sheet name="Teoh Huey Wen" sheetId="334" r:id="rId466"/>
    <sheet name="Tan Cheng Sim" sheetId="335" r:id="rId467"/>
    <sheet name="Traders Hotel HK" sheetId="336" r:id="rId468"/>
    <sheet name="The Nomad Pg" sheetId="346" r:id="rId469"/>
    <sheet name="Tripadvisor" sheetId="354" r:id="rId470"/>
    <sheet name="TWJ" sheetId="355" r:id="rId471"/>
    <sheet name="TKC" sheetId="369" r:id="rId472"/>
    <sheet name="Tripadvisor1" sheetId="357" r:id="rId473"/>
    <sheet name="The Esplanade" sheetId="361" r:id="rId474"/>
    <sheet name="Toi Toi" sheetId="372" r:id="rId475"/>
    <sheet name="Trustees" sheetId="373" r:id="rId476"/>
    <sheet name="Texline" sheetId="381" r:id="rId477"/>
    <sheet name="Thoy Siew Ping" sheetId="385" r:id="rId478"/>
    <sheet name="TLM Event" sheetId="386" r:id="rId479"/>
    <sheet name="Tan Jia Jeat" sheetId="395" r:id="rId480"/>
    <sheet name="Taiyo" sheetId="396" r:id="rId481"/>
    <sheet name="Unico" sheetId="272" r:id="rId482"/>
    <sheet name="Two Print" sheetId="397" r:id="rId483"/>
    <sheet name="The Ritz" sheetId="423" r:id="rId484"/>
    <sheet name="Tham Chia Chieh" sheetId="427" r:id="rId485"/>
    <sheet name="Tai" sheetId="432" r:id="rId486"/>
    <sheet name="Tan Yit Ming" sheetId="442" r:id="rId487"/>
    <sheet name="Tropical Fruit Farm" sheetId="443" r:id="rId488"/>
    <sheet name="TKS HK" sheetId="448" r:id="rId489"/>
    <sheet name="Tribeup" sheetId="450" r:id="rId490"/>
    <sheet name="Tay Yi Lin" sheetId="488" r:id="rId491"/>
    <sheet name="Teddville" sheetId="499" r:id="rId492"/>
    <sheet name="Tsuyoi" sheetId="493" r:id="rId493"/>
    <sheet name="Trailfinders" sheetId="500" r:id="rId494"/>
    <sheet name="Simply De Concepts" sheetId="415" r:id="rId495"/>
    <sheet name="Teoh Lay Pheng" sheetId="503" r:id="rId496"/>
    <sheet name="Travel Cube" sheetId="506" r:id="rId497"/>
    <sheet name="The Legend" sheetId="511" r:id="rId498"/>
    <sheet name="Ta Krai Cafe" sheetId="534" r:id="rId499"/>
    <sheet name="Tampo Miki" sheetId="540" r:id="rId500"/>
    <sheet name="Travelogy" sheetId="548" r:id="rId501"/>
    <sheet name="Tan Liu Chin" sheetId="552" r:id="rId502"/>
    <sheet name="Transperfect" sheetId="555" r:id="rId503"/>
    <sheet name="Thai AA" sheetId="561" r:id="rId504"/>
    <sheet name="Thai AA (2)" sheetId="569" r:id="rId505"/>
    <sheet name="Tan Shurong" sheetId="565" r:id="rId506"/>
    <sheet name="Tax Advisory" sheetId="566" r:id="rId507"/>
    <sheet name="Tan Chong" sheetId="567" r:id="rId508"/>
    <sheet name="Tong Poh Kheng" sheetId="576" r:id="rId509"/>
    <sheet name="St World" sheetId="535" r:id="rId510"/>
    <sheet name="The Plan Communication" sheetId="578" r:id="rId511"/>
    <sheet name="Titanium Hibiscus" sheetId="593" r:id="rId512"/>
    <sheet name="Tan Young Hean" sheetId="597" r:id="rId513"/>
    <sheet name="Tourism Section Consulate" sheetId="609" r:id="rId514"/>
    <sheet name="Trustwin" sheetId="613" r:id="rId515"/>
    <sheet name="Tour East" sheetId="614" r:id="rId516"/>
    <sheet name="The Eksentrika" sheetId="616" r:id="rId517"/>
    <sheet name="Trip4Asia" sheetId="620" r:id="rId518"/>
    <sheet name="Tan Chong Ekpress Auto " sheetId="621" r:id="rId519"/>
    <sheet name="Tourist Information Service" sheetId="622" r:id="rId520"/>
    <sheet name="Tan Ji Shen" sheetId="624" r:id="rId521"/>
    <sheet name="Tek Travel" sheetId="627" r:id="rId522"/>
    <sheet name="The Malaysian" sheetId="631" r:id="rId523"/>
    <sheet name="Tar Pictures" sheetId="640" r:id="rId524"/>
    <sheet name="Travelsmart" sheetId="646" r:id="rId525"/>
    <sheet name="The Light" sheetId="648" r:id="rId526"/>
    <sheet name="Teik Ee" sheetId="650" r:id="rId527"/>
    <sheet name="Tan Wei Wei" sheetId="652" r:id="rId528"/>
    <sheet name="TCCL" sheetId="657" r:id="rId529"/>
    <sheet name="TTG" sheetId="177" r:id="rId530"/>
    <sheet name="TNB" sheetId="172" r:id="rId531"/>
    <sheet name="TNB (2)" sheetId="221" r:id="rId532"/>
    <sheet name="TNB (3)" sheetId="248" r:id="rId533"/>
    <sheet name="TNB (4)" sheetId="278" r:id="rId534"/>
    <sheet name="Paradise" sheetId="197" r:id="rId535"/>
    <sheet name="Tan Hock Kheng" sheetId="170" r:id="rId536"/>
    <sheet name="Teresa Pereira" sheetId="162" r:id="rId537"/>
    <sheet name="Tropical" sheetId="169" r:id="rId538"/>
    <sheet name="Oohm" sheetId="356" r:id="rId539"/>
    <sheet name="Tour Incentive" sheetId="158" r:id="rId540"/>
    <sheet name="Topbit" sheetId="151" r:id="rId541"/>
    <sheet name="Thirty Two" sheetId="156" r:id="rId542"/>
    <sheet name="Trinity" sheetId="150" r:id="rId543"/>
    <sheet name="Tan Yeow Wooi" sheetId="147" r:id="rId544"/>
    <sheet name="T.M.Sundram" sheetId="94" r:id="rId545"/>
    <sheet name="Traders" sheetId="95" r:id="rId546"/>
    <sheet name="Tay Kar Bee" sheetId="96" r:id="rId547"/>
    <sheet name="Tow Boo Kong" sheetId="97" r:id="rId548"/>
    <sheet name="TNT" sheetId="98" r:id="rId549"/>
    <sheet name="Tutucars" sheetId="633" r:id="rId550"/>
    <sheet name="TNT (2)" sheetId="148" r:id="rId551"/>
    <sheet name="TravelBIZ" sheetId="99" r:id="rId552"/>
    <sheet name="Tour&amp;IncentiveTravel" sheetId="100" r:id="rId553"/>
    <sheet name="Tri-concept" sheetId="101" r:id="rId554"/>
    <sheet name="Teresa" sheetId="135" r:id="rId555"/>
    <sheet name="Sarl Cleverois (2)" sheetId="516" r:id="rId556"/>
    <sheet name="Unique Fiesta" sheetId="598" r:id="rId557"/>
    <sheet name="Universal Comms" sheetId="594" r:id="rId558"/>
    <sheet name="Uniholiday" sheetId="388" r:id="rId559"/>
    <sheet name="Unreserved" sheetId="407" r:id="rId560"/>
    <sheet name="Unity Media" sheetId="337" r:id="rId561"/>
    <sheet name="Usains" sheetId="257" r:id="rId562"/>
    <sheet name="Ulysses" sheetId="259" r:id="rId563"/>
    <sheet name="Uni Asia" sheetId="102" r:id="rId564"/>
    <sheet name="Ucan" sheetId="103" r:id="rId565"/>
    <sheet name="Veqta" sheetId="489" r:id="rId566"/>
    <sheet name="Verana" sheetId="487" r:id="rId567"/>
    <sheet name="Virture" sheetId="471" r:id="rId568"/>
    <sheet name="Vouk" sheetId="461" r:id="rId569"/>
    <sheet name="Vcreate" sheetId="255" r:id="rId570"/>
    <sheet name="Vanda" sheetId="446" r:id="rId571"/>
    <sheet name="Vividsgn" sheetId="362" r:id="rId572"/>
    <sheet name="VSL Equipment" sheetId="163" r:id="rId573"/>
    <sheet name="Veteran" sheetId="104" r:id="rId574"/>
    <sheet name="Vivien" sheetId="105" r:id="rId575"/>
    <sheet name="Workstar" sheetId="486" r:id="rId576"/>
    <sheet name="Wak Long" sheetId="619" r:id="rId577"/>
    <sheet name="Wan heng" sheetId="645" r:id="rId578"/>
    <sheet name="Wayee" sheetId="581" r:id="rId579"/>
    <sheet name="Wing Hup" sheetId="464" r:id="rId580"/>
    <sheet name="Wedding Malaysia" sheetId="468" r:id="rId581"/>
    <sheet name="Westcool" sheetId="300" r:id="rId582"/>
    <sheet name="The Life Saving" sheetId="426" r:id="rId583"/>
    <sheet name="Wonderfood" sheetId="463" r:id="rId584"/>
    <sheet name="World Of Fairway" sheetId="370" r:id="rId585"/>
    <sheet name="WorldSpan" sheetId="358" r:id="rId586"/>
    <sheet name="Winsome" sheetId="321" r:id="rId587"/>
    <sheet name="Woon" sheetId="295" r:id="rId588"/>
    <sheet name="WT Lim" sheetId="222" r:id="rId589"/>
    <sheet name="WnJ" sheetId="287" r:id="rId590"/>
    <sheet name="Wind Orkestra" sheetId="273" r:id="rId591"/>
    <sheet name="Web" sheetId="189" r:id="rId592"/>
    <sheet name="Wen Khai" sheetId="137" r:id="rId593"/>
    <sheet name="Wild Stream" sheetId="138" r:id="rId594"/>
    <sheet name="Wushu" sheetId="106" r:id="rId595"/>
    <sheet name="Wakaf Hindu" sheetId="123" r:id="rId596"/>
    <sheet name="Ink Publishing" sheetId="583" r:id="rId597"/>
    <sheet name="Xiamen C&amp;D" sheetId="582" r:id="rId598"/>
    <sheet name="Xiamen Weichuang" sheetId="584" r:id="rId599"/>
    <sheet name="Xiamen Penavico" sheetId="585" r:id="rId600"/>
    <sheet name="YK Curtain" sheetId="600" r:id="rId601"/>
    <sheet name="YZD Planning" sheetId="592" r:id="rId602"/>
    <sheet name="Yong Suh Yen" sheetId="508" r:id="rId603"/>
    <sheet name="Yee Oi Leng" sheetId="505" r:id="rId604"/>
    <sheet name="Yau Sau Moi" sheetId="333" r:id="rId605"/>
    <sheet name="YTL Screen" sheetId="485" r:id="rId606"/>
    <sheet name="Yau Fong Sze" sheetId="399" r:id="rId607"/>
    <sheet name="Yeap Hoo Yong" sheetId="364" r:id="rId608"/>
    <sheet name="Yahoo!" sheetId="359" r:id="rId609"/>
    <sheet name="Yeap Pei Luan" sheetId="303" r:id="rId610"/>
    <sheet name="YTL" sheetId="318" r:id="rId611"/>
    <sheet name="YTL (2)" sheetId="319" r:id="rId612"/>
    <sheet name="Ynot" sheetId="301" r:id="rId613"/>
    <sheet name="Yeap Peng Hoe" sheetId="260" r:id="rId614"/>
    <sheet name="Yeap Kam moey" sheetId="293" r:id="rId615"/>
    <sheet name="Yeen Leong" sheetId="166" r:id="rId616"/>
    <sheet name="Yus" sheetId="107" r:id="rId617"/>
    <sheet name="Yoon" sheetId="165" r:id="rId618"/>
    <sheet name="Yoon (2)" sheetId="332" r:id="rId619"/>
    <sheet name="York hotel" sheetId="108" r:id="rId620"/>
    <sheet name="Yeoh Beng Cjun" sheetId="140" r:id="rId621"/>
    <sheet name="YBLaw" sheetId="128" r:id="rId622"/>
    <sheet name="Yamato" sheetId="145" r:id="rId623"/>
    <sheet name="Yus Adv" sheetId="109" r:id="rId624"/>
    <sheet name="Yeoh" sheetId="136" r:id="rId625"/>
    <sheet name="Zen" sheetId="180" r:id="rId626"/>
    <sheet name="Zheng He" sheetId="425" r:id="rId627"/>
    <sheet name="Zin Mary" sheetId="418" r:id="rId628"/>
    <sheet name="Zen (2)" sheetId="190" r:id="rId629"/>
    <sheet name="Zaiton" sheetId="125" r:id="rId630"/>
    <sheet name="Zarika" sheetId="141" r:id="rId631"/>
  </sheets>
  <definedNames>
    <definedName name="MICA" localSheetId="286">{"";"";"Twenty";"Thirty";"Forty";"Fifty";"Sixty";"Seventy";"Eighty";"Ninety"}</definedName>
    <definedName name="MICA" localSheetId="9">{"";"";"Twenty";"Thirty";"Forty";"Fifty";"Sixty";"Seventy";"Eighty";"Ninety"}</definedName>
    <definedName name="MICA" localSheetId="528">{"";"";"Twenty";"Thirty";"Forty";"Fifty";"Sixty";"Seventy";"Eighty";"Ninety"}</definedName>
    <definedName name="MICA">{"";"";"Twenty";"Thirty";"Forty";"Fifty";"Sixty";"Seventy";"Eighty";"Ninety"}</definedName>
    <definedName name="numbers" localSheetId="21">{"";"One";"Two";"Three";"Four";"Five";"Six";"Seven";"Eight";"Nine";"Ten";"Eleven";"Twelve";"Thirteen";"Fourteen";"Fifteen";"Sixteen";"Seventeen";"Eighteen";"Nineteen"}</definedName>
    <definedName name="numbers" localSheetId="296">{"";"One";"Two";"Three";"Four";"Five";"Six";"Seven";"Eight";"Nine";"Ten";"Eleven";"Twelve";"Thirteen";"Fourteen";"Fifteen";"Sixteen";"Seventeen";"Eighteen";"Nineteen"}</definedName>
    <definedName name="numbers" localSheetId="14">{"";"One";"Two";"Three";"Four";"Five";"Six";"Seven";"Eight";"Nine";"Ten";"Eleven";"Twelve";"Thirteen";"Fourteen";"Fifteen";"Sixteen";"Seventeen";"Eighteen";"Nineteen"}</definedName>
    <definedName name="numbers" localSheetId="596">{"";"One";"Two";"Three";"Four";"Five";"Six";"Seven";"Eight";"Nine";"Ten";"Eleven";"Twelve";"Thirteen";"Fourteen";"Fifteen";"Sixteen";"Seventeen";"Eighteen";"Nineteen"}</definedName>
    <definedName name="numbers" localSheetId="262">{"";"One";"Two";"Three";"Four";"Five";"Six";"Seven";"Eight";"Nine";"Ten";"Eleven";"Twelve";"Thirteen";"Fourteen";"Fifteen";"Sixteen";"Seventeen";"Eighteen";"Nineteen"}</definedName>
    <definedName name="numbers" localSheetId="264">{"";"One";"Two";"Three";"Four";"Five";"Six";"Seven";"Eight";"Nine";"Ten";"Eleven";"Twelve";"Thirteen";"Fourteen";"Fifteen";"Sixteen";"Seventeen";"Eighteen";"Nineteen"}</definedName>
    <definedName name="numbers" localSheetId="263">{"";"One";"Two";"Three";"Four";"Five";"Six";"Seven";"Eight";"Nine";"Ten";"Eleven";"Twelve";"Thirteen";"Fourteen";"Fifteen";"Sixteen";"Seventeen";"Eighteen";"Nineteen"}</definedName>
    <definedName name="numbers" localSheetId="105">{"";"One";"Two";"Three";"Four";"Five";"Six";"Seven";"Eight";"Nine";"Ten";"Eleven";"Twelve";"Thirteen";"Fourteen";"Fifteen";"Sixteen";"Seventeen";"Eighteen";"Nineteen"}</definedName>
    <definedName name="numbers" localSheetId="59">{"";"One";"Two";"Three";"Four";"Five";"Six";"Seven";"Eight";"Nine";"Ten";"Eleven";"Twelve";"Thirteen";"Fourteen";"Fifteen";"Sixteen";"Seventeen";"Eighteen";"Nineteen"}</definedName>
    <definedName name="numbers" localSheetId="70">{"";"One";"Two";"Three";"Four";"Five";"Six";"Seven";"Eight";"Nine";"Ten";"Eleven";"Twelve";"Thirteen";"Fourteen";"Fifteen";"Sixteen";"Seventeen";"Eighteen";"Nineteen"}</definedName>
    <definedName name="numbers" localSheetId="61">{"";"One";"Two";"Three";"Four";"Five";"Six";"Seven";"Eight";"Nine";"Ten";"Eleven";"Twelve";"Thirteen";"Fourteen";"Fifteen";"Sixteen";"Seventeen";"Eighteen";"Nineteen"}</definedName>
    <definedName name="numbers" localSheetId="63">{"";"One";"Two";"Three";"Four";"Five";"Six";"Seven";"Eight";"Nine";"Ten";"Eleven";"Twelve";"Thirteen";"Fourteen";"Fifteen";"Sixteen";"Seventeen";"Eighteen";"Nineteen"}</definedName>
    <definedName name="numbers" localSheetId="69">{"";"One";"Two";"Three";"Four";"Five";"Six";"Seven";"Eight";"Nine";"Ten";"Eleven";"Twelve";"Thirteen";"Fourteen";"Fifteen";"Sixteen";"Seventeen";"Eighteen";"Nineteen"}</definedName>
    <definedName name="numbers" localSheetId="112">{"";"One";"Two";"Three";"Four";"Five";"Six";"Seven";"Eight";"Nine";"Ten";"Eleven";"Twelve";"Thirteen";"Fourteen";"Fifteen";"Sixteen";"Seventeen";"Eighteen";"Nineteen"}</definedName>
    <definedName name="numbers" localSheetId="67">{"";"One";"Two";"Three";"Four";"Five";"Six";"Seven";"Eight";"Nine";"Ten";"Eleven";"Twelve";"Thirteen";"Fourteen";"Fifteen";"Sixteen";"Seventeen";"Eighteen";"Nineteen"}</definedName>
    <definedName name="numbers" localSheetId="107">{"";"One";"Two";"Three";"Four";"Five";"Six";"Seven";"Eight";"Nine";"Ten";"Eleven";"Twelve";"Thirteen";"Fourteen";"Fifteen";"Sixteen";"Seventeen";"Eighteen";"Nineteen"}</definedName>
    <definedName name="numbers" localSheetId="104">{"";"One";"Two";"Three";"Four";"Five";"Six";"Seven";"Eight";"Nine";"Ten";"Eleven";"Twelve";"Thirteen";"Fourteen";"Fifteen";"Sixteen";"Seventeen";"Eighteen";"Nineteen"}</definedName>
    <definedName name="numbers" localSheetId="64">{"";"One";"Two";"Three";"Four";"Five";"Six";"Seven";"Eight";"Nine";"Ten";"Eleven";"Twelve";"Thirteen";"Fourteen";"Fifteen";"Sixteen";"Seventeen";"Eighteen";"Nineteen"}</definedName>
    <definedName name="numbers" localSheetId="120">{"";"One";"Two";"Three";"Four";"Five";"Six";"Seven";"Eight";"Nine";"Ten";"Eleven";"Twelve";"Thirteen";"Fourteen";"Fifteen";"Sixteen";"Seventeen";"Eighteen";"Nineteen"}</definedName>
    <definedName name="numbers" localSheetId="106">{"";"One";"Two";"Three";"Four";"Five";"Six";"Seven";"Eight";"Nine";"Ten";"Eleven";"Twelve";"Thirteen";"Fourteen";"Fifteen";"Sixteen";"Seventeen";"Eighteen";"Nineteen"}</definedName>
    <definedName name="numbers" localSheetId="68">{"";"One";"Two";"Three";"Four";"Five";"Six";"Seven";"Eight";"Nine";"Ten";"Eleven";"Twelve";"Thirteen";"Fourteen";"Fifteen";"Sixteen";"Seventeen";"Eighteen";"Nineteen"}</definedName>
    <definedName name="numbers" localSheetId="65">{"";"One";"Two";"Three";"Four";"Five";"Six";"Seven";"Eight";"Nine";"Ten";"Eleven";"Twelve";"Thirteen";"Fourteen";"Fifteen";"Sixteen";"Seventeen";"Eighteen";"Nineteen"}</definedName>
    <definedName name="numbers" localSheetId="66">{"";"One";"Two";"Three";"Four";"Five";"Six";"Seven";"Eight";"Nine";"Ten";"Eleven";"Twelve";"Thirteen";"Fourteen";"Fifteen";"Sixteen";"Seventeen";"Eighteen";"Nineteen"}</definedName>
    <definedName name="numbers" localSheetId="111">{"";"One";"Two";"Three";"Four";"Five";"Six";"Seven";"Eight";"Nine";"Ten";"Eleven";"Twelve";"Thirteen";"Fourteen";"Fifteen";"Sixteen";"Seventeen";"Eighteen";"Nineteen"}</definedName>
    <definedName name="numbers" localSheetId="62">{"";"One";"Two";"Three";"Four";"Five";"Six";"Seven";"Eight";"Nine";"Ten";"Eleven";"Twelve";"Thirteen";"Fourteen";"Fifteen";"Sixteen";"Seventeen";"Eighteen";"Nineteen"}</definedName>
    <definedName name="numbers" localSheetId="135">{"";"One";"Two";"Three";"Four";"Five";"Six";"Seven";"Eight";"Nine";"Ten";"Eleven";"Twelve";"Thirteen";"Fourteen";"Fifteen";"Sixteen";"Seventeen";"Eighteen";"Nineteen"}</definedName>
    <definedName name="numbers" localSheetId="130">{"";"One";"Two";"Three";"Four";"Five";"Six";"Seven";"Eight";"Nine";"Ten";"Eleven";"Twelve";"Thirteen";"Fourteen";"Fifteen";"Sixteen";"Seventeen";"Eighteen";"Nineteen"}</definedName>
    <definedName name="numbers" localSheetId="156">{"";"One";"Two";"Three";"Four";"Five";"Six";"Seven";"Eight";"Nine";"Ten";"Eleven";"Twelve";"Thirteen";"Fourteen";"Fifteen";"Sixteen";"Seventeen";"Eighteen";"Nineteen"}</definedName>
    <definedName name="numbers" localSheetId="139">{"";"One";"Two";"Three";"Four";"Five";"Six";"Seven";"Eight";"Nine";"Ten";"Eleven";"Twelve";"Thirteen";"Fourteen";"Fifteen";"Sixteen";"Seventeen";"Eighteen";"Nineteen"}</definedName>
    <definedName name="numbers" localSheetId="137">{"";"One";"Two";"Three";"Four";"Five";"Six";"Seven";"Eight";"Nine";"Ten";"Eleven";"Twelve";"Thirteen";"Fourteen";"Fifteen";"Sixteen";"Seventeen";"Eighteen";"Nineteen"}</definedName>
    <definedName name="numbers" localSheetId="150">{"";"One";"Two";"Three";"Four";"Five";"Six";"Seven";"Eight";"Nine";"Ten";"Eleven";"Twelve";"Thirteen";"Fourteen";"Fifteen";"Sixteen";"Seventeen";"Eighteen";"Nineteen"}</definedName>
    <definedName name="numbers" localSheetId="145">{"";"One";"Two";"Three";"Four";"Five";"Six";"Seven";"Eight";"Nine";"Ten";"Eleven";"Twelve";"Thirteen";"Fourteen";"Fifteen";"Sixteen";"Seventeen";"Eighteen";"Nineteen"}</definedName>
    <definedName name="numbers" localSheetId="78">{"";"One";"Two";"Three";"Four";"Five";"Six";"Seven";"Eight";"Nine";"Ten";"Eleven";"Twelve";"Thirteen";"Fourteen";"Fifteen";"Sixteen";"Seventeen";"Eighteen";"Nineteen"}</definedName>
    <definedName name="numbers" localSheetId="138">{"";"One";"Two";"Three";"Four";"Five";"Six";"Seven";"Eight";"Nine";"Ten";"Eleven";"Twelve";"Thirteen";"Fourteen";"Fifteen";"Sixteen";"Seventeen";"Eighteen";"Nineteen"}</definedName>
    <definedName name="numbers" localSheetId="131">{"";"One";"Two";"Three";"Four";"Five";"Six";"Seven";"Eight";"Nine";"Ten";"Eleven";"Twelve";"Thirteen";"Fourteen";"Fifteen";"Sixteen";"Seventeen";"Eighteen";"Nineteen"}</definedName>
    <definedName name="numbers" localSheetId="134">{"";"One";"Two";"Three";"Four";"Five";"Six";"Seven";"Eight";"Nine";"Ten";"Eleven";"Twelve";"Thirteen";"Fourteen";"Fifteen";"Sixteen";"Seventeen";"Eighteen";"Nineteen"}</definedName>
    <definedName name="numbers" localSheetId="136">{"";"One";"Two";"Three";"Four";"Five";"Six";"Seven";"Eight";"Nine";"Ten";"Eleven";"Twelve";"Thirteen";"Fourteen";"Fifteen";"Sixteen";"Seventeen";"Eighteen";"Nineteen"}</definedName>
    <definedName name="numbers" localSheetId="144">{"";"One";"Two";"Three";"Four";"Five";"Six";"Seven";"Eight";"Nine";"Ten";"Eleven";"Twelve";"Thirteen";"Fourteen";"Fifteen";"Sixteen";"Seventeen";"Eighteen";"Nineteen"}</definedName>
    <definedName name="numbers" localSheetId="142">{"";"One";"Two";"Three";"Four";"Five";"Six";"Seven";"Eight";"Nine";"Ten";"Eleven";"Twelve";"Thirteen";"Fourteen";"Fifteen";"Sixteen";"Seventeen";"Eighteen";"Nineteen"}</definedName>
    <definedName name="numbers" localSheetId="538">{"";"One";"Two";"Three";"Four";"Five";"Six";"Seven";"Eight";"Nine";"Ten";"Eleven";"Twelve";"Thirteen";"Fourteen";"Fifteen";"Sixteen";"Seventeen";"Eighteen";"Nineteen"}</definedName>
    <definedName name="numbers" localSheetId="146">{"";"One";"Two";"Three";"Four";"Five";"Six";"Seven";"Eight";"Nine";"Ten";"Eleven";"Twelve";"Thirteen";"Fourteen";"Fifteen";"Sixteen";"Seventeen";"Eighteen";"Nineteen"}</definedName>
    <definedName name="numbers" localSheetId="148">{"";"One";"Two";"Three";"Four";"Five";"Six";"Seven";"Eight";"Nine";"Ten";"Eleven";"Twelve";"Thirteen";"Fourteen";"Fifteen";"Sixteen";"Seventeen";"Eighteen";"Nineteen"}</definedName>
    <definedName name="numbers" localSheetId="161">{"";"One";"Two";"Three";"Four";"Five";"Six";"Seven";"Eight";"Nine";"Ten";"Eleven";"Twelve";"Thirteen";"Fourteen";"Fifteen";"Sixteen";"Seventeen";"Eighteen";"Nineteen"}</definedName>
    <definedName name="numbers" localSheetId="162">{"";"One";"Two";"Three";"Four";"Five";"Six";"Seven";"Eight";"Nine";"Ten";"Eleven";"Twelve";"Thirteen";"Fourteen";"Fifteen";"Sixteen";"Seventeen";"Eighteen";"Nineteen"}</definedName>
    <definedName name="numbers" localSheetId="147">{"";"One";"Two";"Three";"Four";"Five";"Six";"Seven";"Eight";"Nine";"Ten";"Eleven";"Twelve";"Thirteen";"Fourteen";"Fifteen";"Sixteen";"Seventeen";"Eighteen";"Nineteen"}</definedName>
    <definedName name="numbers" localSheetId="258">{"";"One";"Two";"Three";"Four";"Five";"Six";"Seven";"Eight";"Nine";"Ten";"Eleven";"Twelve";"Thirteen";"Fourteen";"Fifteen";"Sixteen";"Seventeen";"Eighteen";"Nineteen"}</definedName>
    <definedName name="numbers" localSheetId="141">{"";"One";"Two";"Three";"Four";"Five";"Six";"Seven";"Eight";"Nine";"Ten";"Eleven";"Twelve";"Thirteen";"Fourteen";"Fifteen";"Sixteen";"Seventeen";"Eighteen";"Nineteen"}</definedName>
    <definedName name="numbers" localSheetId="143">{"";"One";"Two";"Three";"Four";"Five";"Six";"Seven";"Eight";"Nine";"Ten";"Eleven";"Twelve";"Thirteen";"Fourteen";"Fifteen";"Sixteen";"Seventeen";"Eighteen";"Nineteen"}</definedName>
    <definedName name="numbers" localSheetId="168">{"";"One";"Two";"Three";"Four";"Five";"Six";"Seven";"Eight";"Nine";"Ten";"Eleven";"Twelve";"Thirteen";"Fourteen";"Fifteen";"Sixteen";"Seventeen";"Eighteen";"Nineteen"}</definedName>
    <definedName name="numbers" localSheetId="232">{"";"One";"Two";"Three";"Four";"Five";"Six";"Seven";"Eight";"Nine";"Ten";"Eleven";"Twelve";"Thirteen";"Fourteen";"Fifteen";"Sixteen";"Seventeen";"Eighteen";"Nineteen"}</definedName>
    <definedName name="numbers" localSheetId="249">{"";"One";"Two";"Three";"Four";"Five";"Six";"Seven";"Eight";"Nine";"Ten";"Eleven";"Twelve";"Thirteen";"Fourteen";"Fifteen";"Sixteen";"Seventeen";"Eighteen";"Nineteen"}</definedName>
    <definedName name="numbers" localSheetId="165">{"";"One";"Two";"Three";"Four";"Five";"Six";"Seven";"Eight";"Nine";"Ten";"Eleven";"Twelve";"Thirteen";"Fourteen";"Fifteen";"Sixteen";"Seventeen";"Eighteen";"Nineteen"}</definedName>
    <definedName name="numbers" localSheetId="195">{"";"One";"Two";"Three";"Four";"Five";"Six";"Seven";"Eight";"Nine";"Ten";"Eleven";"Twelve";"Thirteen";"Fourteen";"Fifteen";"Sixteen";"Seventeen";"Eighteen";"Nineteen"}</definedName>
    <definedName name="numbers" localSheetId="260">{"";"One";"Two";"Three";"Four";"Five";"Six";"Seven";"Eight";"Nine";"Ten";"Eleven";"Twelve";"Thirteen";"Fourteen";"Fifteen";"Sixteen";"Seventeen";"Eighteen";"Nineteen"}</definedName>
    <definedName name="numbers" localSheetId="166">{"";"One";"Two";"Three";"Four";"Five";"Six";"Seven";"Eight";"Nine";"Ten";"Eleven";"Twelve";"Thirteen";"Fourteen";"Fifteen";"Sixteen";"Seventeen";"Eighteen";"Nineteen"}</definedName>
    <definedName name="numbers" localSheetId="284">{"";"One";"Two";"Three";"Four";"Five";"Six";"Seven";"Eight";"Nine";"Ten";"Eleven";"Twelve";"Thirteen";"Fourteen";"Fifteen";"Sixteen";"Seventeen";"Eighteen";"Nineteen"}</definedName>
    <definedName name="numbers" localSheetId="245">{"";"One";"Two";"Three";"Four";"Five";"Six";"Seven";"Eight";"Nine";"Ten";"Eleven";"Twelve";"Thirteen";"Fourteen";"Fifteen";"Sixteen";"Seventeen";"Eighteen";"Nineteen"}</definedName>
    <definedName name="numbers" localSheetId="234">{"";"One";"Two";"Three";"Four";"Five";"Six";"Seven";"Eight";"Nine";"Ten";"Eleven";"Twelve";"Thirteen";"Fourteen";"Fifteen";"Sixteen";"Seventeen";"Eighteen";"Nineteen"}</definedName>
    <definedName name="numbers" localSheetId="218">{"";"One";"Two";"Three";"Four";"Five";"Six";"Seven";"Eight";"Nine";"Ten";"Eleven";"Twelve";"Thirteen";"Fourteen";"Fifteen";"Sixteen";"Seventeen";"Eighteen";"Nineteen"}</definedName>
    <definedName name="numbers" localSheetId="273">{"";"One";"Two";"Three";"Four";"Five";"Six";"Seven";"Eight";"Nine";"Ten";"Eleven";"Twelve";"Thirteen";"Fourteen";"Fifteen";"Sixteen";"Seventeen";"Eighteen";"Nineteen"}</definedName>
    <definedName name="numbers" localSheetId="227">{"";"One";"Two";"Three";"Four";"Five";"Six";"Seven";"Eight";"Nine";"Ten";"Eleven";"Twelve";"Thirteen";"Fourteen";"Fifteen";"Sixteen";"Seventeen";"Eighteen";"Nineteen"}</definedName>
    <definedName name="numbers" localSheetId="299">{"";"One";"Two";"Three";"Four";"Five";"Six";"Seven";"Eight";"Nine";"Ten";"Eleven";"Twelve";"Thirteen";"Fourteen";"Fifteen";"Sixteen";"Seventeen";"Eighteen";"Nineteen"}</definedName>
    <definedName name="numbers" localSheetId="286">{"";"One";"Two";"Three";"Four";"Five";"Six";"Seven";"Eight";"Nine";"Ten";"Eleven";"Twelve";"Thirteen";"Fourteen";"Fifteen";"Sixteen";"Seventeen";"Eighteen";"Nineteen"}</definedName>
    <definedName name="numbers" localSheetId="266">{"";"One";"Two";"Three";"Four";"Five";"Six";"Seven";"Eight";"Nine";"Ten";"Eleven";"Twelve";"Thirteen";"Fourteen";"Fifteen";"Sixteen";"Seventeen";"Eighteen";"Nineteen"}</definedName>
    <definedName name="numbers" localSheetId="248">{"";"One";"Two";"Three";"Four";"Five";"Six";"Seven";"Eight";"Nine";"Ten";"Eleven";"Twelve";"Thirteen";"Fourteen";"Fifteen";"Sixteen";"Seventeen";"Eighteen";"Nineteen"}</definedName>
    <definedName name="numbers" localSheetId="252">{"";"One";"Two";"Three";"Four";"Five";"Six";"Seven";"Eight";"Nine";"Ten";"Eleven";"Twelve";"Thirteen";"Fourteen";"Fifteen";"Sixteen";"Seventeen";"Eighteen";"Nineteen"}</definedName>
    <definedName name="numbers" localSheetId="231">{"";"One";"Two";"Three";"Four";"Five";"Six";"Seven";"Eight";"Nine";"Ten";"Eleven";"Twelve";"Thirteen";"Fourteen";"Fifteen";"Sixteen";"Seventeen";"Eighteen";"Nineteen"}</definedName>
    <definedName name="numbers" localSheetId="180">{"";"One";"Two";"Three";"Four";"Five";"Six";"Seven";"Eight";"Nine";"Ten";"Eleven";"Twelve";"Thirteen";"Fourteen";"Fifteen";"Sixteen";"Seventeen";"Eighteen";"Nineteen"}</definedName>
    <definedName name="numbers" localSheetId="239">{"";"One";"Two";"Three";"Four";"Five";"Six";"Seven";"Eight";"Nine";"Ten";"Eleven";"Twelve";"Thirteen";"Fourteen";"Fifteen";"Sixteen";"Seventeen";"Eighteen";"Nineteen"}</definedName>
    <definedName name="numbers" localSheetId="244">{"";"One";"Two";"Three";"Four";"Five";"Six";"Seven";"Eight";"Nine";"Ten";"Eleven";"Twelve";"Thirteen";"Fourteen";"Fifteen";"Sixteen";"Seventeen";"Eighteen";"Nineteen"}</definedName>
    <definedName name="numbers" localSheetId="246">{"";"One";"Two";"Three";"Four";"Five";"Six";"Seven";"Eight";"Nine";"Ten";"Eleven";"Twelve";"Thirteen";"Fourteen";"Fifteen";"Sixteen";"Seventeen";"Eighteen";"Nineteen"}</definedName>
    <definedName name="numbers" localSheetId="235">{"";"One";"Two";"Three";"Four";"Five";"Six";"Seven";"Eight";"Nine";"Ten";"Eleven";"Twelve";"Thirteen";"Fourteen";"Fifteen";"Sixteen";"Seventeen";"Eighteen";"Nineteen"}</definedName>
    <definedName name="numbers" localSheetId="226">{"";"One";"Two";"Three";"Four";"Five";"Six";"Seven";"Eight";"Nine";"Ten";"Eleven";"Twelve";"Thirteen";"Fourteen";"Fifteen";"Sixteen";"Seventeen";"Eighteen";"Nineteen"}</definedName>
    <definedName name="numbers" localSheetId="233">{"";"One";"Two";"Three";"Four";"Five";"Six";"Seven";"Eight";"Nine";"Ten";"Eleven";"Twelve";"Thirteen";"Fourteen";"Fifteen";"Sixteen";"Seventeen";"Eighteen";"Nineteen"}</definedName>
    <definedName name="numbers" localSheetId="241">{"";"One";"Two";"Three";"Four";"Five";"Six";"Seven";"Eight";"Nine";"Ten";"Eleven";"Twelve";"Thirteen";"Fourteen";"Fifteen";"Sixteen";"Seventeen";"Eighteen";"Nineteen"}</definedName>
    <definedName name="numbers" localSheetId="254">{"";"One";"Two";"Three";"Four";"Five";"Six";"Seven";"Eight";"Nine";"Ten";"Eleven";"Twelve";"Thirteen";"Fourteen";"Fifteen";"Sixteen";"Seventeen";"Eighteen";"Nineteen"}</definedName>
    <definedName name="numbers" localSheetId="170">{"";"One";"Two";"Three";"Four";"Five";"Six";"Seven";"Eight";"Nine";"Ten";"Eleven";"Twelve";"Thirteen";"Fourteen";"Fifteen";"Sixteen";"Seventeen";"Eighteen";"Nineteen"}</definedName>
    <definedName name="numbers" localSheetId="178">{"";"One";"Two";"Three";"Four";"Five";"Six";"Seven";"Eight";"Nine";"Ten";"Eleven";"Twelve";"Thirteen";"Fourteen";"Fifteen";"Sixteen";"Seventeen";"Eighteen";"Nineteen"}</definedName>
    <definedName name="numbers" localSheetId="186">{"";"One";"Two";"Three";"Four";"Five";"Six";"Seven";"Eight";"Nine";"Ten";"Eleven";"Twelve";"Thirteen";"Fourteen";"Fifteen";"Sixteen";"Seventeen";"Eighteen";"Nineteen"}</definedName>
    <definedName name="numbers" localSheetId="214">{"";"One";"Two";"Three";"Four";"Five";"Six";"Seven";"Eight";"Nine";"Ten";"Eleven";"Twelve";"Thirteen";"Fourteen";"Fifteen";"Sixteen";"Seventeen";"Eighteen";"Nineteen"}</definedName>
    <definedName name="numbers" localSheetId="225">{"";"One";"Two";"Three";"Four";"Five";"Six";"Seven";"Eight";"Nine";"Ten";"Eleven";"Twelve";"Thirteen";"Fourteen";"Fifteen";"Sixteen";"Seventeen";"Eighteen";"Nineteen"}</definedName>
    <definedName name="numbers" localSheetId="173">{"";"One";"Two";"Three";"Four";"Five";"Six";"Seven";"Eight";"Nine";"Ten";"Eleven";"Twelve";"Thirteen";"Fourteen";"Fifteen";"Sixteen";"Seventeen";"Eighteen";"Nineteen"}</definedName>
    <definedName name="numbers" localSheetId="289">{"";"One";"Two";"Three";"Four";"Five";"Six";"Seven";"Eight";"Nine";"Ten";"Eleven";"Twelve";"Thirteen";"Fourteen";"Fifteen";"Sixteen";"Seventeen";"Eighteen";"Nineteen"}</definedName>
    <definedName name="numbers" localSheetId="208">{"";"One";"Two";"Three";"Four";"Five";"Six";"Seven";"Eight";"Nine";"Ten";"Eleven";"Twelve";"Thirteen";"Fourteen";"Fifteen";"Sixteen";"Seventeen";"Eighteen";"Nineteen"}</definedName>
    <definedName name="numbers" localSheetId="333">{"";"One";"Two";"Three";"Four";"Five";"Six";"Seven";"Eight";"Nine";"Ten";"Eleven";"Twelve";"Thirteen";"Fourteen";"Fifteen";"Sixteen";"Seventeen";"Eighteen";"Nineteen"}</definedName>
    <definedName name="numbers" localSheetId="194">{"";"One";"Two";"Three";"Four";"Five";"Six";"Seven";"Eight";"Nine";"Ten";"Eleven";"Twelve";"Thirteen";"Fourteen";"Fifteen";"Sixteen";"Seventeen";"Eighteen";"Nineteen"}</definedName>
    <definedName name="numbers" localSheetId="253">{"";"One";"Two";"Three";"Four";"Five";"Six";"Seven";"Eight";"Nine";"Ten";"Eleven";"Twelve";"Thirteen";"Fourteen";"Fifteen";"Sixteen";"Seventeen";"Eighteen";"Nineteen"}</definedName>
    <definedName name="numbers" localSheetId="197">{"";"One";"Two";"Three";"Four";"Five";"Six";"Seven";"Eight";"Nine";"Ten";"Eleven";"Twelve";"Thirteen";"Fourteen";"Fifteen";"Sixteen";"Seventeen";"Eighteen";"Nineteen"}</definedName>
    <definedName name="numbers" localSheetId="202">{"";"One";"Two";"Three";"Four";"Five";"Six";"Seven";"Eight";"Nine";"Ten";"Eleven";"Twelve";"Thirteen";"Fourteen";"Fifteen";"Sixteen";"Seventeen";"Eighteen";"Nineteen"}</definedName>
    <definedName name="numbers" localSheetId="259">{"";"One";"Two";"Three";"Four";"Five";"Six";"Seven";"Eight";"Nine";"Ten";"Eleven";"Twelve";"Thirteen";"Fourteen";"Fifteen";"Sixteen";"Seventeen";"Eighteen";"Nineteen"}</definedName>
    <definedName name="numbers" localSheetId="267">{"";"One";"Two";"Three";"Four";"Five";"Six";"Seven";"Eight";"Nine";"Ten";"Eleven";"Twelve";"Thirteen";"Fourteen";"Fifteen";"Sixteen";"Seventeen";"Eighteen";"Nineteen"}</definedName>
    <definedName name="numbers" localSheetId="269">{"";"One";"Two";"Three";"Four";"Five";"Six";"Seven";"Eight";"Nine";"Ten";"Eleven";"Twelve";"Thirteen";"Fourteen";"Fifteen";"Sixteen";"Seventeen";"Eighteen";"Nineteen"}</definedName>
    <definedName name="numbers" localSheetId="230">{"";"One";"Two";"Three";"Four";"Five";"Six";"Seven";"Eight";"Nine";"Ten";"Eleven";"Twelve";"Thirteen";"Fourteen";"Fifteen";"Sixteen";"Seventeen";"Eighteen";"Nineteen"}</definedName>
    <definedName name="numbers" localSheetId="270">{"";"One";"Two";"Three";"Four";"Five";"Six";"Seven";"Eight";"Nine";"Ten";"Eleven";"Twelve";"Thirteen";"Fourteen";"Fifteen";"Sixteen";"Seventeen";"Eighteen";"Nineteen"}</definedName>
    <definedName name="numbers" localSheetId="236">{"";"One";"Two";"Three";"Four";"Five";"Six";"Seven";"Eight";"Nine";"Ten";"Eleven";"Twelve";"Thirteen";"Fourteen";"Fifteen";"Sixteen";"Seventeen";"Eighteen";"Nineteen"}</definedName>
    <definedName name="numbers" localSheetId="271">{"";"One";"Two";"Three";"Four";"Five";"Six";"Seven";"Eight";"Nine";"Ten";"Eleven";"Twelve";"Thirteen";"Fourteen";"Fifteen";"Sixteen";"Seventeen";"Eighteen";"Nineteen"}</definedName>
    <definedName name="numbers" localSheetId="174">{"";"One";"Two";"Three";"Four";"Five";"Six";"Seven";"Eight";"Nine";"Ten";"Eleven";"Twelve";"Thirteen";"Fourteen";"Fifteen";"Sixteen";"Seventeen";"Eighteen";"Nineteen"}</definedName>
    <definedName name="numbers" localSheetId="220">{"";"One";"Two";"Three";"Four";"Five";"Six";"Seven";"Eight";"Nine";"Ten";"Eleven";"Twelve";"Thirteen";"Fourteen";"Fifteen";"Sixteen";"Seventeen";"Eighteen";"Nineteen"}</definedName>
    <definedName name="numbers" localSheetId="324">{"";"One";"Two";"Three";"Four";"Five";"Six";"Seven";"Eight";"Nine";"Ten";"Eleven";"Twelve";"Thirteen";"Fourteen";"Fifteen";"Sixteen";"Seventeen";"Eighteen";"Nineteen"}</definedName>
    <definedName name="numbers" localSheetId="261">{"";"One";"Two";"Three";"Four";"Five";"Six";"Seven";"Eight";"Nine";"Ten";"Eleven";"Twelve";"Thirteen";"Fourteen";"Fifteen";"Sixteen";"Seventeen";"Eighteen";"Nineteen"}</definedName>
    <definedName name="numbers" localSheetId="199">{"";"One";"Two";"Three";"Four";"Five";"Six";"Seven";"Eight";"Nine";"Ten";"Eleven";"Twelve";"Thirteen";"Fourteen";"Fifteen";"Sixteen";"Seventeen";"Eighteen";"Nineteen"}</definedName>
    <definedName name="numbers" localSheetId="229">{"";"One";"Two";"Three";"Four";"Five";"Six";"Seven";"Eight";"Nine";"Ten";"Eleven";"Twelve";"Thirteen";"Fourteen";"Fifteen";"Sixteen";"Seventeen";"Eighteen";"Nineteen"}</definedName>
    <definedName name="numbers" localSheetId="256">{"";"One";"Two";"Three";"Four";"Five";"Six";"Seven";"Eight";"Nine";"Ten";"Eleven";"Twelve";"Thirteen";"Fourteen";"Fifteen";"Sixteen";"Seventeen";"Eighteen";"Nineteen"}</definedName>
    <definedName name="numbers" localSheetId="250">{"";"One";"Two";"Three";"Four";"Five";"Six";"Seven";"Eight";"Nine";"Ten";"Eleven";"Twelve";"Thirteen";"Fourteen";"Fifteen";"Sixteen";"Seventeen";"Eighteen";"Nineteen"}</definedName>
    <definedName name="numbers" localSheetId="257">{"";"One";"Two";"Three";"Four";"Five";"Six";"Seven";"Eight";"Nine";"Ten";"Eleven";"Twelve";"Thirteen";"Fourteen";"Fifteen";"Sixteen";"Seventeen";"Eighteen";"Nineteen"}</definedName>
    <definedName name="numbers" localSheetId="171">{"";"One";"Two";"Three";"Four";"Five";"Six";"Seven";"Eight";"Nine";"Ten";"Eleven";"Twelve";"Thirteen";"Fourteen";"Fifteen";"Sixteen";"Seventeen";"Eighteen";"Nineteen"}</definedName>
    <definedName name="numbers" localSheetId="278">{"";"One";"Two";"Three";"Four";"Five";"Six";"Seven";"Eight";"Nine";"Ten";"Eleven";"Twelve";"Thirteen";"Fourteen";"Fifteen";"Sixteen";"Seventeen";"Eighteen";"Nineteen"}</definedName>
    <definedName name="numbers" localSheetId="247">{"";"One";"Two";"Three";"Four";"Five";"Six";"Seven";"Eight";"Nine";"Ten";"Eleven";"Twelve";"Thirteen";"Fourteen";"Fifteen";"Sixteen";"Seventeen";"Eighteen";"Nineteen"}</definedName>
    <definedName name="numbers" localSheetId="285">{"";"One";"Two";"Three";"Four";"Five";"Six";"Seven";"Eight";"Nine";"Ten";"Eleven";"Twelve";"Thirteen";"Fourteen";"Fifteen";"Sixteen";"Seventeen";"Eighteen";"Nineteen"}</definedName>
    <definedName name="numbers" localSheetId="277">{"";"One";"Two";"Three";"Four";"Five";"Six";"Seven";"Eight";"Nine";"Ten";"Eleven";"Twelve";"Thirteen";"Fourteen";"Fifteen";"Sixteen";"Seventeen";"Eighteen";"Nineteen"}</definedName>
    <definedName name="numbers" localSheetId="291">{"";"One";"Two";"Three";"Four";"Five";"Six";"Seven";"Eight";"Nine";"Ten";"Eleven";"Twelve";"Thirteen";"Fourteen";"Fifteen";"Sixteen";"Seventeen";"Eighteen";"Nineteen"}</definedName>
    <definedName name="numbers" localSheetId="276">{"";"One";"Two";"Three";"Four";"Five";"Six";"Seven";"Eight";"Nine";"Ten";"Eleven";"Twelve";"Thirteen";"Fourteen";"Fifteen";"Sixteen";"Seventeen";"Eighteen";"Nineteen"}</definedName>
    <definedName name="numbers" localSheetId="237">{"";"One";"Two";"Three";"Four";"Five";"Six";"Seven";"Eight";"Nine";"Ten";"Eleven";"Twelve";"Thirteen";"Fourteen";"Fifteen";"Sixteen";"Seventeen";"Eighteen";"Nineteen"}</definedName>
    <definedName name="numbers" localSheetId="292">{"";"One";"Two";"Three";"Four";"Five";"Six";"Seven";"Eight";"Nine";"Ten";"Eleven";"Twelve";"Thirteen";"Fourteen";"Fifteen";"Sixteen";"Seventeen";"Eighteen";"Nineteen"}</definedName>
    <definedName name="numbers" localSheetId="287">{"";"One";"Two";"Three";"Four";"Five";"Six";"Seven";"Eight";"Nine";"Ten";"Eleven";"Twelve";"Thirteen";"Fourteen";"Fifteen";"Sixteen";"Seventeen";"Eighteen";"Nineteen"}</definedName>
    <definedName name="numbers" localSheetId="280">{"";"One";"Two";"Three";"Four";"Five";"Six";"Seven";"Eight";"Nine";"Ten";"Eleven";"Twelve";"Thirteen";"Fourteen";"Fifteen";"Sixteen";"Seventeen";"Eighteen";"Nineteen"}</definedName>
    <definedName name="numbers" localSheetId="251">{"";"One";"Two";"Three";"Four";"Five";"Six";"Seven";"Eight";"Nine";"Ten";"Eleven";"Twelve";"Thirteen";"Fourteen";"Fifteen";"Sixteen";"Seventeen";"Eighteen";"Nineteen"}</definedName>
    <definedName name="numbers" localSheetId="274">{"";"One";"Two";"Three";"Four";"Five";"Six";"Seven";"Eight";"Nine";"Ten";"Eleven";"Twelve";"Thirteen";"Fourteen";"Fifteen";"Sixteen";"Seventeen";"Eighteen";"Nineteen"}</definedName>
    <definedName name="numbers" localSheetId="169">{"";"One";"Two";"Three";"Four";"Five";"Six";"Seven";"Eight";"Nine";"Ten";"Eleven";"Twelve";"Thirteen";"Fourteen";"Fifteen";"Sixteen";"Seventeen";"Eighteen";"Nineteen"}</definedName>
    <definedName name="numbers" localSheetId="281">{"";"One";"Two";"Three";"Four";"Five";"Six";"Seven";"Eight";"Nine";"Ten";"Eleven";"Twelve";"Thirteen";"Fourteen";"Fifteen";"Sixteen";"Seventeen";"Eighteen";"Nineteen"}</definedName>
    <definedName name="numbers" localSheetId="238">{"";"One";"Two";"Three";"Four";"Five";"Six";"Seven";"Eight";"Nine";"Ten";"Eleven";"Twelve";"Thirteen";"Fourteen";"Fifteen";"Sixteen";"Seventeen";"Eighteen";"Nineteen"}</definedName>
    <definedName name="numbers" localSheetId="207">{"";"One";"Two";"Three";"Four";"Five";"Six";"Seven";"Eight";"Nine";"Ten";"Eleven";"Twelve";"Thirteen";"Fourteen";"Fifteen";"Sixteen";"Seventeen";"Eighteen";"Nineteen"}</definedName>
    <definedName name="numbers" localSheetId="272">{"";"One";"Two";"Three";"Four";"Five";"Six";"Seven";"Eight";"Nine";"Ten";"Eleven";"Twelve";"Thirteen";"Fourteen";"Fifteen";"Sixteen";"Seventeen";"Eighteen";"Nineteen"}</definedName>
    <definedName name="numbers" localSheetId="167">{"";"One";"Two";"Three";"Four";"Five";"Six";"Seven";"Eight";"Nine";"Ten";"Eleven";"Twelve";"Thirteen";"Fourteen";"Fifteen";"Sixteen";"Seventeen";"Eighteen";"Nineteen"}</definedName>
    <definedName name="numbers" localSheetId="242">{"";"One";"Two";"Three";"Four";"Five";"Six";"Seven";"Eight";"Nine";"Ten";"Eleven";"Twelve";"Thirteen";"Fourteen";"Fifteen";"Sixteen";"Seventeen";"Eighteen";"Nineteen"}</definedName>
    <definedName name="numbers" localSheetId="290">{"";"One";"Two";"Three";"Four";"Five";"Six";"Seven";"Eight";"Nine";"Ten";"Eleven";"Twelve";"Thirteen";"Fourteen";"Fifteen";"Sixteen";"Seventeen";"Eighteen";"Nineteen"}</definedName>
    <definedName name="numbers" localSheetId="265">{"";"One";"Two";"Three";"Four";"Five";"Six";"Seven";"Eight";"Nine";"Ten";"Eleven";"Twelve";"Thirteen";"Fourteen";"Fifteen";"Sixteen";"Seventeen";"Eighteen";"Nineteen"}</definedName>
    <definedName name="numbers" localSheetId="243">{"";"One";"Two";"Three";"Four";"Five";"Six";"Seven";"Eight";"Nine";"Ten";"Eleven";"Twelve";"Thirteen";"Fourteen";"Fifteen";"Sixteen";"Seventeen";"Eighteen";"Nineteen"}</definedName>
    <definedName name="numbers" localSheetId="275">{"";"One";"Two";"Three";"Four";"Five";"Six";"Seven";"Eight";"Nine";"Ten";"Eleven";"Twelve";"Thirteen";"Fourteen";"Fifteen";"Sixteen";"Seventeen";"Eighteen";"Nineteen"}</definedName>
    <definedName name="numbers" localSheetId="282">{"";"One";"Two";"Three";"Four";"Five";"Six";"Seven";"Eight";"Nine";"Ten";"Eleven";"Twelve";"Thirteen";"Fourteen";"Fifteen";"Sixteen";"Seventeen";"Eighteen";"Nineteen"}</definedName>
    <definedName name="numbers" localSheetId="279">{"";"One";"Two";"Three";"Four";"Five";"Six";"Seven";"Eight";"Nine";"Ten";"Eleven";"Twelve";"Thirteen";"Fourteen";"Fifteen";"Sixteen";"Seventeen";"Eighteen";"Nineteen"}</definedName>
    <definedName name="numbers" localSheetId="283">{"";"One";"Two";"Three";"Four";"Five";"Six";"Seven";"Eight";"Nine";"Ten";"Eleven";"Twelve";"Thirteen";"Fourteen";"Fifteen";"Sixteen";"Seventeen";"Eighteen";"Nineteen"}</definedName>
    <definedName name="numbers" localSheetId="268">{"";"One";"Two";"Three";"Four";"Five";"Six";"Seven";"Eight";"Nine";"Ten";"Eleven";"Twelve";"Thirteen";"Fourteen";"Fifteen";"Sixteen";"Seventeen";"Eighteen";"Nineteen"}</definedName>
    <definedName name="numbers" localSheetId="320">{"";"One";"Two";"Three";"Four";"Five";"Six";"Seven";"Eight";"Nine";"Ten";"Eleven";"Twelve";"Thirteen";"Fourteen";"Fifteen";"Sixteen";"Seventeen";"Eighteen";"Nineteen"}</definedName>
    <definedName name="numbers" localSheetId="221">{"";"One";"Two";"Three";"Four";"Five";"Six";"Seven";"Eight";"Nine";"Ten";"Eleven";"Twelve";"Thirteen";"Fourteen";"Fifteen";"Sixteen";"Seventeen";"Eighteen";"Nineteen"}</definedName>
    <definedName name="numbers" localSheetId="222">{"";"One";"Two";"Three";"Four";"Five";"Six";"Seven";"Eight";"Nine";"Ten";"Eleven";"Twelve";"Thirteen";"Fourteen";"Fifteen";"Sixteen";"Seventeen";"Eighteen";"Nineteen"}</definedName>
    <definedName name="numbers" localSheetId="228">{"";"One";"Two";"Three";"Four";"Five";"Six";"Seven";"Eight";"Nine";"Ten";"Eleven";"Twelve";"Thirteen";"Fourteen";"Fifteen";"Sixteen";"Seventeen";"Eighteen";"Nineteen"}</definedName>
    <definedName name="numbers" localSheetId="255">{"";"One";"Two";"Three";"Four";"Five";"Six";"Seven";"Eight";"Nine";"Ten";"Eleven";"Twelve";"Thirteen";"Fourteen";"Fifteen";"Sixteen";"Seventeen";"Eighteen";"Nineteen"}</definedName>
    <definedName name="numbers" localSheetId="172">{"";"One";"Two";"Three";"Four";"Five";"Six";"Seven";"Eight";"Nine";"Ten";"Eleven";"Twelve";"Thirteen";"Fourteen";"Fifteen";"Sixteen";"Seventeen";"Eighteen";"Nineteen"}</definedName>
    <definedName name="numbers" localSheetId="342">{"";"One";"Two";"Three";"Four";"Five";"Six";"Seven";"Eight";"Nine";"Ten";"Eleven";"Twelve";"Thirteen";"Fourteen";"Fifteen";"Sixteen";"Seventeen";"Eighteen";"Nineteen"}</definedName>
    <definedName name="numbers" localSheetId="343">{"";"One";"Two";"Three";"Four";"Five";"Six";"Seven";"Eight";"Nine";"Ten";"Eleven";"Twelve";"Thirteen";"Fourteen";"Fifteen";"Sixteen";"Seventeen";"Eighteen";"Nineteen"}</definedName>
    <definedName name="numbers" localSheetId="344">{"";"One";"Two";"Three";"Four";"Five";"Six";"Seven";"Eight";"Nine";"Ten";"Eleven";"Twelve";"Thirteen";"Fourteen";"Fifteen";"Sixteen";"Seventeen";"Eighteen";"Nineteen"}</definedName>
    <definedName name="numbers" localSheetId="345">{"";"One";"Two";"Three";"Four";"Five";"Six";"Seven";"Eight";"Nine";"Ten";"Eleven";"Twelve";"Thirteen";"Fourteen";"Fifteen";"Sixteen";"Seventeen";"Eighteen";"Nineteen"}</definedName>
    <definedName name="numbers" localSheetId="346">{"";"One";"Two";"Three";"Four";"Five";"Six";"Seven";"Eight";"Nine";"Ten";"Eleven";"Twelve";"Thirteen";"Fourteen";"Fifteen";"Sixteen";"Seventeen";"Eighteen";"Nineteen"}</definedName>
    <definedName name="numbers" localSheetId="347">{"";"One";"Two";"Three";"Four";"Five";"Six";"Seven";"Eight";"Nine";"Ten";"Eleven";"Twelve";"Thirteen";"Fourteen";"Fifteen";"Sixteen";"Seventeen";"Eighteen";"Nineteen"}</definedName>
    <definedName name="numbers" localSheetId="348">{"";"One";"Two";"Three";"Four";"Five";"Six";"Seven";"Eight";"Nine";"Ten";"Eleven";"Twelve";"Thirteen";"Fourteen";"Fifteen";"Sixteen";"Seventeen";"Eighteen";"Nineteen"}</definedName>
    <definedName name="numbers" localSheetId="341">{"";"One";"Two";"Three";"Four";"Five";"Six";"Seven";"Eight";"Nine";"Ten";"Eleven";"Twelve";"Thirteen";"Fourteen";"Fifteen";"Sixteen";"Seventeen";"Eighteen";"Nineteen"}</definedName>
    <definedName name="numbers" localSheetId="386">{"";"One";"Two";"Three";"Four";"Five";"Six";"Seven";"Eight";"Nine";"Ten";"Eleven";"Twelve";"Thirteen";"Fourteen";"Fifteen";"Sixteen";"Seventeen";"Eighteen";"Nineteen"}</definedName>
    <definedName name="numbers" localSheetId="382">{"";"One";"Two";"Three";"Four";"Five";"Six";"Seven";"Eight";"Nine";"Ten";"Eleven";"Twelve";"Thirteen";"Fourteen";"Fifteen";"Sixteen";"Seventeen";"Eighteen";"Nineteen"}</definedName>
    <definedName name="numbers" localSheetId="354">{"";"One";"Two";"Three";"Four";"Five";"Six";"Seven";"Eight";"Nine";"Ten";"Eleven";"Twelve";"Thirteen";"Fourteen";"Fifteen";"Sixteen";"Seventeen";"Eighteen";"Nineteen"}</definedName>
    <definedName name="numbers" localSheetId="379">{"";"One";"Two";"Three";"Four";"Five";"Six";"Seven";"Eight";"Nine";"Ten";"Eleven";"Twelve";"Thirteen";"Fourteen";"Fifteen";"Sixteen";"Seventeen";"Eighteen";"Nineteen"}</definedName>
    <definedName name="numbers" localSheetId="381">{"";"One";"Two";"Three";"Four";"Five";"Six";"Seven";"Eight";"Nine";"Ten";"Eleven";"Twelve";"Thirteen";"Fourteen";"Fifteen";"Sixteen";"Seventeen";"Eighteen";"Nineteen"}</definedName>
    <definedName name="numbers" localSheetId="362">{"";"One";"Two";"Three";"Four";"Five";"Six";"Seven";"Eight";"Nine";"Ten";"Eleven";"Twelve";"Thirteen";"Fourteen";"Fifteen";"Sixteen";"Seventeen";"Eighteen";"Nineteen"}</definedName>
    <definedName name="numbers" localSheetId="351">{"";"One";"Two";"Three";"Four";"Five";"Six";"Seven";"Eight";"Nine";"Ten";"Eleven";"Twelve";"Thirteen";"Fourteen";"Fifteen";"Sixteen";"Seventeen";"Eighteen";"Nineteen"}</definedName>
    <definedName name="numbers" localSheetId="353">{"";"One";"Two";"Three";"Four";"Five";"Six";"Seven";"Eight";"Nine";"Ten";"Eleven";"Twelve";"Thirteen";"Fourteen";"Fifteen";"Sixteen";"Seventeen";"Eighteen";"Nineteen"}</definedName>
    <definedName name="numbers" localSheetId="378">{"";"One";"Two";"Three";"Four";"Five";"Six";"Seven";"Eight";"Nine";"Ten";"Eleven";"Twelve";"Thirteen";"Fourteen";"Fifteen";"Sixteen";"Seventeen";"Eighteen";"Nineteen"}</definedName>
    <definedName name="numbers" localSheetId="350">{"";"One";"Two";"Three";"Four";"Five";"Six";"Seven";"Eight";"Nine";"Ten";"Eleven";"Twelve";"Thirteen";"Fourteen";"Fifteen";"Sixteen";"Seventeen";"Eighteen";"Nineteen"}</definedName>
    <definedName name="numbers" localSheetId="367">{"";"One";"Two";"Three";"Four";"Five";"Six";"Seven";"Eight";"Nine";"Ten";"Eleven";"Twelve";"Thirteen";"Fourteen";"Fifteen";"Sixteen";"Seventeen";"Eighteen";"Nineteen"}</definedName>
    <definedName name="numbers" localSheetId="368">{"";"One";"Two";"Three";"Four";"Five";"Six";"Seven";"Eight";"Nine";"Ten";"Eleven";"Twelve";"Thirteen";"Fourteen";"Fifteen";"Sixteen";"Seventeen";"Eighteen";"Nineteen"}</definedName>
    <definedName name="numbers" localSheetId="369">{"";"One";"Two";"Three";"Four";"Five";"Six";"Seven";"Eight";"Nine";"Ten";"Eleven";"Twelve";"Thirteen";"Fourteen";"Fifteen";"Sixteen";"Seventeen";"Eighteen";"Nineteen"}</definedName>
    <definedName name="numbers" localSheetId="363">{"";"One";"Two";"Three";"Four";"Five";"Six";"Seven";"Eight";"Nine";"Ten";"Eleven";"Twelve";"Thirteen";"Fourteen";"Fifteen";"Sixteen";"Seventeen";"Eighteen";"Nineteen"}</definedName>
    <definedName name="numbers" localSheetId="359">{"";"One";"Two";"Three";"Four";"Five";"Six";"Seven";"Eight";"Nine";"Ten";"Eleven";"Twelve";"Thirteen";"Fourteen";"Fifteen";"Sixteen";"Seventeen";"Eighteen";"Nineteen"}</definedName>
    <definedName name="numbers" localSheetId="356">{"";"One";"Two";"Three";"Four";"Five";"Six";"Seven";"Eight";"Nine";"Ten";"Eleven";"Twelve";"Thirteen";"Fourteen";"Fifteen";"Sixteen";"Seventeen";"Eighteen";"Nineteen"}</definedName>
    <definedName name="numbers" localSheetId="360">{"";"One";"Two";"Three";"Four";"Five";"Six";"Seven";"Eight";"Nine";"Ten";"Eleven";"Twelve";"Thirteen";"Fourteen";"Fifteen";"Sixteen";"Seventeen";"Eighteen";"Nineteen"}</definedName>
    <definedName name="numbers" localSheetId="371">{"";"One";"Two";"Three";"Four";"Five";"Six";"Seven";"Eight";"Nine";"Ten";"Eleven";"Twelve";"Thirteen";"Fourteen";"Fifteen";"Sixteen";"Seventeen";"Eighteen";"Nineteen"}</definedName>
    <definedName name="numbers" localSheetId="374">{"";"One";"Two";"Three";"Four";"Five";"Six";"Seven";"Eight";"Nine";"Ten";"Eleven";"Twelve";"Thirteen";"Fourteen";"Fifteen";"Sixteen";"Seventeen";"Eighteen";"Nineteen"}</definedName>
    <definedName name="numbers" localSheetId="361">{"";"One";"Two";"Three";"Four";"Five";"Six";"Seven";"Eight";"Nine";"Ten";"Eleven";"Twelve";"Thirteen";"Fourteen";"Fifteen";"Sixteen";"Seventeen";"Eighteen";"Nineteen"}</definedName>
    <definedName name="numbers" localSheetId="358">{"";"One";"Two";"Three";"Four";"Five";"Six";"Seven";"Eight";"Nine";"Ten";"Eleven";"Twelve";"Thirteen";"Fourteen";"Fifteen";"Sixteen";"Seventeen";"Eighteen";"Nineteen"}</definedName>
    <definedName name="numbers" localSheetId="373">{"";"One";"Two";"Three";"Four";"Five";"Six";"Seven";"Eight";"Nine";"Ten";"Eleven";"Twelve";"Thirteen";"Fourteen";"Fifteen";"Sixteen";"Seventeen";"Eighteen";"Nineteen"}</definedName>
    <definedName name="numbers" localSheetId="375">{"";"One";"Two";"Three";"Four";"Five";"Six";"Seven";"Eight";"Nine";"Ten";"Eleven";"Twelve";"Thirteen";"Fourteen";"Fifteen";"Sixteen";"Seventeen";"Eighteen";"Nineteen"}</definedName>
    <definedName name="numbers" localSheetId="370">{"";"One";"Two";"Three";"Four";"Five";"Six";"Seven";"Eight";"Nine";"Ten";"Eleven";"Twelve";"Thirteen";"Fourteen";"Fifteen";"Sixteen";"Seventeen";"Eighteen";"Nineteen"}</definedName>
    <definedName name="numbers" localSheetId="355">{"";"One";"Two";"Three";"Four";"Five";"Six";"Seven";"Eight";"Nine";"Ten";"Eleven";"Twelve";"Thirteen";"Fourteen";"Fifteen";"Sixteen";"Seventeen";"Eighteen";"Nineteen"}</definedName>
    <definedName name="numbers" localSheetId="380">{"";"One";"Two";"Three";"Four";"Five";"Six";"Seven";"Eight";"Nine";"Ten";"Eleven";"Twelve";"Thirteen";"Fourteen";"Fifteen";"Sixteen";"Seventeen";"Eighteen";"Nineteen"}</definedName>
    <definedName name="numbers" localSheetId="357">{"";"One";"Two";"Three";"Four";"Five";"Six";"Seven";"Eight";"Nine";"Ten";"Eleven";"Twelve";"Thirteen";"Fourteen";"Fifteen";"Sixteen";"Seventeen";"Eighteen";"Nineteen"}</definedName>
    <definedName name="numbers" localSheetId="366">{"";"One";"Two";"Three";"Four";"Five";"Six";"Seven";"Eight";"Nine";"Ten";"Eleven";"Twelve";"Thirteen";"Fourteen";"Fifteen";"Sixteen";"Seventeen";"Eighteen";"Nineteen"}</definedName>
    <definedName name="numbers" localSheetId="372">{"";"One";"Two";"Three";"Four";"Five";"Six";"Seven";"Eight";"Nine";"Ten";"Eleven";"Twelve";"Thirteen";"Fourteen";"Fifteen";"Sixteen";"Seventeen";"Eighteen";"Nineteen"}</definedName>
    <definedName name="numbers" localSheetId="60">{"";"One";"Two";"Three";"Four";"Five";"Six";"Seven";"Eight";"Nine";"Ten";"Eleven";"Twelve";"Thirteen";"Fourteen";"Fifteen";"Sixteen";"Seventeen";"Eighteen";"Nineteen"}</definedName>
    <definedName name="numbers" localSheetId="376">{"";"One";"Two";"Three";"Four";"Five";"Six";"Seven";"Eight";"Nine";"Ten";"Eleven";"Twelve";"Thirteen";"Fourteen";"Fifteen";"Sixteen";"Seventeen";"Eighteen";"Nineteen"}</definedName>
    <definedName name="numbers" localSheetId="352">{"";"One";"Two";"Three";"Four";"Five";"Six";"Seven";"Eight";"Nine";"Ten";"Eleven";"Twelve";"Thirteen";"Fourteen";"Fifteen";"Sixteen";"Seventeen";"Eighteen";"Nineteen"}</definedName>
    <definedName name="numbers" localSheetId="364">{"";"One";"Two";"Three";"Four";"Five";"Six";"Seven";"Eight";"Nine";"Ten";"Eleven";"Twelve";"Thirteen";"Fourteen";"Fifteen";"Sixteen";"Seventeen";"Eighteen";"Nineteen"}</definedName>
    <definedName name="numbers" localSheetId="365">{"";"One";"Two";"Three";"Four";"Five";"Six";"Seven";"Eight";"Nine";"Ten";"Eleven";"Twelve";"Thirteen";"Fourteen";"Fifteen";"Sixteen";"Seventeen";"Eighteen";"Nineteen"}</definedName>
    <definedName name="numbers" localSheetId="406">{"";"One";"Two";"Three";"Four";"Five";"Six";"Seven";"Eight";"Nine";"Ten";"Eleven";"Twelve";"Thirteen";"Fourteen";"Fifteen";"Sixteen";"Seventeen";"Eighteen";"Nineteen"}</definedName>
    <definedName name="numbers" localSheetId="48">{"";"One";"Two";"Three";"Four";"Five";"Six";"Seven";"Eight";"Nine";"Ten";"Eleven";"Twelve";"Thirteen";"Fourteen";"Fifteen";"Sixteen";"Seventeen";"Eighteen";"Nineteen"}</definedName>
    <definedName name="numbers" localSheetId="54">{"";"One";"Two";"Three";"Four";"Five";"Six";"Seven";"Eight";"Nine";"Ten";"Eleven";"Twelve";"Thirteen";"Fourteen";"Fifteen";"Sixteen";"Seventeen";"Eighteen";"Nineteen"}</definedName>
    <definedName name="numbers" localSheetId="52">{"";"One";"Two";"Three";"Four";"Five";"Six";"Seven";"Eight";"Nine";"Ten";"Eleven";"Twelve";"Thirteen";"Fourteen";"Fifteen";"Sixteen";"Seventeen";"Eighteen";"Nineteen"}</definedName>
    <definedName name="numbers" localSheetId="4">{"";"One";"Two";"Three";"Four";"Five";"Six";"Seven";"Eight";"Nine";"Ten";"Eleven";"Twelve";"Thirteen";"Fourteen";"Fifteen";"Sixteen";"Seventeen";"Eighteen";"Nineteen"}</definedName>
    <definedName name="numbers" localSheetId="555">{"";"One";"Two";"Three";"Four";"Five";"Six";"Seven";"Eight";"Nine";"Ten";"Eleven";"Twelve";"Thirteen";"Fourteen";"Fifteen";"Sixteen";"Seventeen";"Eighteen";"Nineteen"}</definedName>
    <definedName name="numbers" localSheetId="81">{"";"One";"Two";"Three";"Four";"Five";"Six";"Seven";"Eight";"Nine";"Ten";"Eleven";"Twelve";"Thirteen";"Fourteen";"Fifteen";"Sixteen";"Seventeen";"Eighteen";"Nineteen"}</definedName>
    <definedName name="numbers" localSheetId="25">{"";"One";"Two";"Three";"Four";"Five";"Six";"Seven";"Eight";"Nine";"Ten";"Eleven";"Twelve";"Thirteen";"Fourteen";"Fifteen";"Sixteen";"Seventeen";"Eighteen";"Nineteen"}</definedName>
    <definedName name="numbers" localSheetId="398">{"";"One";"Two";"Three";"Four";"Five";"Six";"Seven";"Eight";"Nine";"Ten";"Eleven";"Twelve";"Thirteen";"Fourteen";"Fifteen";"Sixteen";"Seventeen";"Eighteen";"Nineteen"}</definedName>
    <definedName name="numbers" localSheetId="46">{"";"One";"Two";"Three";"Four";"Five";"Six";"Seven";"Eight";"Nine";"Ten";"Eleven";"Twelve";"Thirteen";"Fourteen";"Fifteen";"Sixteen";"Seventeen";"Eighteen";"Nineteen"}</definedName>
    <definedName name="numbers" localSheetId="10">{"";"One";"Two";"Three";"Four";"Five";"Six";"Seven";"Eight";"Nine";"Ten";"Eleven";"Twelve";"Thirteen";"Fourteen";"Fifteen";"Sixteen";"Seventeen";"Eighteen";"Nineteen"}</definedName>
    <definedName name="numbers" localSheetId="426">{"";"One";"Two";"Three";"Four";"Five";"Six";"Seven";"Eight";"Nine";"Ten";"Eleven";"Twelve";"Thirteen";"Fourteen";"Fifteen";"Sixteen";"Seventeen";"Eighteen";"Nineteen"}</definedName>
    <definedName name="numbers" localSheetId="6">{"";"One";"Two";"Three";"Four";"Five";"Six";"Seven";"Eight";"Nine";"Ten";"Eleven";"Twelve";"Thirteen";"Fourteen";"Fifteen";"Sixteen";"Seventeen";"Eighteen";"Nineteen"}</definedName>
    <definedName name="numbers" localSheetId="32">{"";"One";"Two";"Three";"Four";"Five";"Six";"Seven";"Eight";"Nine";"Ten";"Eleven";"Twelve";"Thirteen";"Fourteen";"Fifteen";"Sixteen";"Seventeen";"Eighteen";"Nineteen"}</definedName>
    <definedName name="numbers" localSheetId="53">{"";"One";"Two";"Three";"Four";"Five";"Six";"Seven";"Eight";"Nine";"Ten";"Eleven";"Twelve";"Thirteen";"Fourteen";"Fifteen";"Sixteen";"Seventeen";"Eighteen";"Nineteen"}</definedName>
    <definedName name="numbers" localSheetId="414">{"";"One";"Two";"Three";"Four";"Five";"Six";"Seven";"Eight";"Nine";"Ten";"Eleven";"Twelve";"Thirteen";"Fourteen";"Fifteen";"Sixteen";"Seventeen";"Eighteen";"Nineteen"}</definedName>
    <definedName name="numbers" localSheetId="20">{"";"One";"Two";"Three";"Four";"Five";"Six";"Seven";"Eight";"Nine";"Ten";"Eleven";"Twelve";"Thirteen";"Fourteen";"Fifteen";"Sixteen";"Seventeen";"Eighteen";"Nineteen"}</definedName>
    <definedName name="numbers" localSheetId="13">{"";"One";"Two";"Three";"Four";"Five";"Six";"Seven";"Eight";"Nine";"Ten";"Eleven";"Twelve";"Thirteen";"Fourteen";"Fifteen";"Sixteen";"Seventeen";"Eighteen";"Nineteen"}</definedName>
    <definedName name="numbers" localSheetId="38">{"";"One";"Two";"Three";"Four";"Five";"Six";"Seven";"Eight";"Nine";"Ten";"Eleven";"Twelve";"Thirteen";"Fourteen";"Fifteen";"Sixteen";"Seventeen";"Eighteen";"Nineteen"}</definedName>
    <definedName name="numbers" localSheetId="423">{"";"One";"Two";"Three";"Four";"Five";"Six";"Seven";"Eight";"Nine";"Ten";"Eleven";"Twelve";"Thirteen";"Fourteen";"Fifteen";"Sixteen";"Seventeen";"Eighteen";"Nineteen"}</definedName>
    <definedName name="numbers" localSheetId="36">{"";"One";"Two";"Three";"Four";"Five";"Six";"Seven";"Eight";"Nine";"Ten";"Eleven";"Twelve";"Thirteen";"Fourteen";"Fifteen";"Sixteen";"Seventeen";"Eighteen";"Nineteen"}</definedName>
    <definedName name="numbers" localSheetId="399">{"";"One";"Two";"Three";"Four";"Five";"Six";"Seven";"Eight";"Nine";"Ten";"Eleven";"Twelve";"Thirteen";"Fourteen";"Fifteen";"Sixteen";"Seventeen";"Eighteen";"Nineteen"}</definedName>
    <definedName name="numbers" localSheetId="55">{"";"One";"Two";"Three";"Four";"Five";"Six";"Seven";"Eight";"Nine";"Ten";"Eleven";"Twelve";"Thirteen";"Fourteen";"Fifteen";"Sixteen";"Seventeen";"Eighteen";"Nineteen"}</definedName>
    <definedName name="numbers" localSheetId="29">{"";"One";"Two";"Three";"Four";"Five";"Six";"Seven";"Eight";"Nine";"Ten";"Eleven";"Twelve";"Thirteen";"Fourteen";"Fifteen";"Sixteen";"Seventeen";"Eighteen";"Nineteen"}</definedName>
    <definedName name="numbers" localSheetId="50">{"";"One";"Two";"Three";"Four";"Five";"Six";"Seven";"Eight";"Nine";"Ten";"Eleven";"Twelve";"Thirteen";"Fourteen";"Fifteen";"Sixteen";"Seventeen";"Eighteen";"Nineteen"}</definedName>
    <definedName name="numbers" localSheetId="409">{"";"One";"Two";"Three";"Four";"Five";"Six";"Seven";"Eight";"Nine";"Ten";"Eleven";"Twelve";"Thirteen";"Fourteen";"Fifteen";"Sixteen";"Seventeen";"Eighteen";"Nineteen"}</definedName>
    <definedName name="numbers" localSheetId="12">{"";"One";"Two";"Three";"Four";"Five";"Six";"Seven";"Eight";"Nine";"Ten";"Eleven";"Twelve";"Thirteen";"Fourteen";"Fifteen";"Sixteen";"Seventeen";"Eighteen";"Nineteen"}</definedName>
    <definedName name="numbers" localSheetId="9">{"";"One";"Two";"Three";"Four";"Five";"Six";"Seven";"Eight";"Nine";"Ten";"Eleven";"Twelve";"Thirteen";"Fourteen";"Fifteen";"Sixteen";"Seventeen";"Eighteen";"Nineteen"}</definedName>
    <definedName name="numbers" localSheetId="79">{"";"One";"Two";"Three";"Four";"Five";"Six";"Seven";"Eight";"Nine";"Ten";"Eleven";"Twelve";"Thirteen";"Fourteen";"Fifteen";"Sixteen";"Seventeen";"Eighteen";"Nineteen"}</definedName>
    <definedName name="numbers" localSheetId="58">{"";"One";"Two";"Three";"Four";"Five";"Six";"Seven";"Eight";"Nine";"Ten";"Eleven";"Twelve";"Thirteen";"Fourteen";"Fifteen";"Sixteen";"Seventeen";"Eighteen";"Nineteen"}</definedName>
    <definedName name="numbers" localSheetId="74">{"";"One";"Two";"Three";"Four";"Five";"Six";"Seven";"Eight";"Nine";"Ten";"Eleven";"Twelve";"Thirteen";"Fourteen";"Fifteen";"Sixteen";"Seventeen";"Eighteen";"Nineteen"}</definedName>
    <definedName name="numbers" localSheetId="56">{"";"One";"Two";"Three";"Four";"Five";"Six";"Seven";"Eight";"Nine";"Ten";"Eleven";"Twelve";"Thirteen";"Fourteen";"Fifteen";"Sixteen";"Seventeen";"Eighteen";"Nineteen"}</definedName>
    <definedName name="numbers" localSheetId="43">{"";"One";"Two";"Three";"Four";"Five";"Six";"Seven";"Eight";"Nine";"Ten";"Eleven";"Twelve";"Thirteen";"Fourteen";"Fifteen";"Sixteen";"Seventeen";"Eighteen";"Nineteen"}</definedName>
    <definedName name="numbers" localSheetId="22">{"";"One";"Two";"Three";"Four";"Five";"Six";"Seven";"Eight";"Nine";"Ten";"Eleven";"Twelve";"Thirteen";"Fourteen";"Fifteen";"Sixteen";"Seventeen";"Eighteen";"Nineteen"}</definedName>
    <definedName name="numbers" localSheetId="16">{"";"One";"Two";"Three";"Four";"Five";"Six";"Seven";"Eight";"Nine";"Ten";"Eleven";"Twelve";"Thirteen";"Fourteen";"Fifteen";"Sixteen";"Seventeen";"Eighteen";"Nineteen"}</definedName>
    <definedName name="numbers" localSheetId="31">{"";"One";"Two";"Three";"Four";"Five";"Six";"Seven";"Eight";"Nine";"Ten";"Eleven";"Twelve";"Thirteen";"Fourteen";"Fifteen";"Sixteen";"Seventeen";"Eighteen";"Nineteen"}</definedName>
    <definedName name="numbers" localSheetId="449">{"";"One";"Two";"Three";"Four";"Five";"Six";"Seven";"Eight";"Nine";"Ten";"Eleven";"Twelve";"Thirteen";"Fourteen";"Fifteen";"Sixteen";"Seventeen";"Eighteen";"Nineteen"}</definedName>
    <definedName name="numbers" localSheetId="26">{"";"One";"Two";"Three";"Four";"Five";"Six";"Seven";"Eight";"Nine";"Ten";"Eleven";"Twelve";"Thirteen";"Fourteen";"Fifteen";"Sixteen";"Seventeen";"Eighteen";"Nineteen"}</definedName>
    <definedName name="numbers" localSheetId="494">{"";"One";"Two";"Three";"Four";"Five";"Six";"Seven";"Eight";"Nine";"Ten";"Eleven";"Twelve";"Thirteen";"Fourteen";"Fifteen";"Sixteen";"Seventeen";"Eighteen";"Nineteen"}</definedName>
    <definedName name="numbers" localSheetId="402">{"";"One";"Two";"Three";"Four";"Five";"Six";"Seven";"Eight";"Nine";"Ten";"Eleven";"Twelve";"Thirteen";"Fourteen";"Fifteen";"Sixteen";"Seventeen";"Eighteen";"Nineteen"}</definedName>
    <definedName name="numbers" localSheetId="40">{"";"One";"Two";"Three";"Four";"Five";"Six";"Seven";"Eight";"Nine";"Ten";"Eleven";"Twelve";"Thirteen";"Fourteen";"Fifteen";"Sixteen";"Seventeen";"Eighteen";"Nineteen"}</definedName>
    <definedName name="numbers" localSheetId="41">{"";"One";"Two";"Three";"Four";"Five";"Six";"Seven";"Eight";"Nine";"Ten";"Eleven";"Twelve";"Thirteen";"Fourteen";"Fifteen";"Sixteen";"Seventeen";"Eighteen";"Nineteen"}</definedName>
    <definedName name="numbers" localSheetId="42">{"";"One";"Two";"Three";"Four";"Five";"Six";"Seven";"Eight";"Nine";"Ten";"Eleven";"Twelve";"Thirteen";"Fourteen";"Fifteen";"Sixteen";"Seventeen";"Eighteen";"Nineteen"}</definedName>
    <definedName name="numbers" localSheetId="7">{"";"One";"Two";"Three";"Four";"Five";"Six";"Seven";"Eight";"Nine";"Ten";"Eleven";"Twelve";"Thirteen";"Fourteen";"Fifteen";"Sixteen";"Seventeen";"Eighteen";"Nineteen"}</definedName>
    <definedName name="numbers" localSheetId="27">{"";"One";"Two";"Three";"Four";"Five";"Six";"Seven";"Eight";"Nine";"Ten";"Eleven";"Twelve";"Thirteen";"Fourteen";"Fifteen";"Sixteen";"Seventeen";"Eighteen";"Nineteen"}</definedName>
    <definedName name="numbers" localSheetId="71">{"";"One";"Two";"Three";"Four";"Five";"Six";"Seven";"Eight";"Nine";"Ten";"Eleven";"Twelve";"Thirteen";"Fourteen";"Fifteen";"Sixteen";"Seventeen";"Eighteen";"Nineteen"}</definedName>
    <definedName name="numbers" localSheetId="19">{"";"One";"Two";"Three";"Four";"Five";"Six";"Seven";"Eight";"Nine";"Ten";"Eleven";"Twelve";"Thirteen";"Fourteen";"Fifteen";"Sixteen";"Seventeen";"Eighteen";"Nineteen"}</definedName>
    <definedName name="numbers" localSheetId="403">{"";"One";"Two";"Three";"Four";"Five";"Six";"Seven";"Eight";"Nine";"Ten";"Eleven";"Twelve";"Thirteen";"Fourteen";"Fifteen";"Sixteen";"Seventeen";"Eighteen";"Nineteen"}</definedName>
    <definedName name="numbers" localSheetId="400">{"";"One";"Two";"Three";"Four";"Five";"Six";"Seven";"Eight";"Nine";"Ten";"Eleven";"Twelve";"Thirteen";"Fourteen";"Fifteen";"Sixteen";"Seventeen";"Eighteen";"Nineteen"}</definedName>
    <definedName name="numbers" localSheetId="17">{"";"One";"Two";"Three";"Four";"Five";"Six";"Seven";"Eight";"Nine";"Ten";"Eleven";"Twelve";"Thirteen";"Fourteen";"Fifteen";"Sixteen";"Seventeen";"Eighteen";"Nineteen"}</definedName>
    <definedName name="numbers" localSheetId="411">{"";"One";"Two";"Three";"Four";"Five";"Six";"Seven";"Eight";"Nine";"Ten";"Eleven";"Twelve";"Thirteen";"Fourteen";"Fifteen";"Sixteen";"Seventeen";"Eighteen";"Nineteen"}</definedName>
    <definedName name="numbers" localSheetId="47">{"";"One";"Two";"Three";"Four";"Five";"Six";"Seven";"Eight";"Nine";"Ten";"Eleven";"Twelve";"Thirteen";"Fourteen";"Fifteen";"Sixteen";"Seventeen";"Eighteen";"Nineteen"}</definedName>
    <definedName name="numbers" localSheetId="77">{"";"One";"Two";"Three";"Four";"Five";"Six";"Seven";"Eight";"Nine";"Ten";"Eleven";"Twelve";"Thirteen";"Fourteen";"Fifteen";"Sixteen";"Seventeen";"Eighteen";"Nineteen"}</definedName>
    <definedName name="numbers" localSheetId="18">{"";"One";"Two";"Three";"Four";"Five";"Six";"Seven";"Eight";"Nine";"Ten";"Eleven";"Twelve";"Thirteen";"Fourteen";"Fifteen";"Sixteen";"Seventeen";"Eighteen";"Nineteen"}</definedName>
    <definedName name="numbers" localSheetId="39">{"";"One";"Two";"Three";"Four";"Five";"Six";"Seven";"Eight";"Nine";"Ten";"Eleven";"Twelve";"Thirteen";"Fourteen";"Fifteen";"Sixteen";"Seventeen";"Eighteen";"Nineteen"}</definedName>
    <definedName name="numbers" localSheetId="15">{"";"One";"Two";"Three";"Four";"Five";"Six";"Seven";"Eight";"Nine";"Ten";"Eleven";"Twelve";"Thirteen";"Fourteen";"Fifteen";"Sixteen";"Seventeen";"Eighteen";"Nineteen"}</definedName>
    <definedName name="numbers" localSheetId="8">{"";"One";"Two";"Three";"Four";"Five";"Six";"Seven";"Eight";"Nine";"Ten";"Eleven";"Twelve";"Thirteen";"Fourteen";"Fifteen";"Sixteen";"Seventeen";"Eighteen";"Nineteen"}</definedName>
    <definedName name="numbers" localSheetId="51">{"";"One";"Two";"Three";"Four";"Five";"Six";"Seven";"Eight";"Nine";"Ten";"Eleven";"Twelve";"Thirteen";"Fourteen";"Fifteen";"Sixteen";"Seventeen";"Eighteen";"Nineteen"}</definedName>
    <definedName name="numbers" localSheetId="82">{"";"One";"Two";"Three";"Four";"Five";"Six";"Seven";"Eight";"Nine";"Ten";"Eleven";"Twelve";"Thirteen";"Fourteen";"Fifteen";"Sixteen";"Seventeen";"Eighteen";"Nineteen"}</definedName>
    <definedName name="numbers" localSheetId="49">{"";"One";"Two";"Three";"Four";"Five";"Six";"Seven";"Eight";"Nine";"Ten";"Eleven";"Twelve";"Thirteen";"Fourteen";"Fifteen";"Sixteen";"Seventeen";"Eighteen";"Nineteen"}</definedName>
    <definedName name="numbers" localSheetId="75">{"";"One";"Two";"Three";"Four";"Five";"Six";"Seven";"Eight";"Nine";"Ten";"Eleven";"Twelve";"Thirteen";"Fourteen";"Fifteen";"Sixteen";"Seventeen";"Eighteen";"Nineteen"}</definedName>
    <definedName name="numbers" localSheetId="30">{"";"One";"Two";"Three";"Four";"Five";"Six";"Seven";"Eight";"Nine";"Ten";"Eleven";"Twelve";"Thirteen";"Fourteen";"Fifteen";"Sixteen";"Seventeen";"Eighteen";"Nineteen"}</definedName>
    <definedName name="numbers" localSheetId="73">{"";"One";"Two";"Three";"Four";"Five";"Six";"Seven";"Eight";"Nine";"Ten";"Eleven";"Twelve";"Thirteen";"Fourteen";"Fifteen";"Sixteen";"Seventeen";"Eighteen";"Nineteen"}</definedName>
    <definedName name="numbers" localSheetId="509">{"";"One";"Two";"Three";"Four";"Five";"Six";"Seven";"Eight";"Nine";"Ten";"Eleven";"Twelve";"Thirteen";"Fourteen";"Fifteen";"Sixteen";"Seventeen";"Eighteen";"Nineteen"}</definedName>
    <definedName name="numbers" localSheetId="416">{"";"One";"Two";"Three";"Four";"Five";"Six";"Seven";"Eight";"Nine";"Ten";"Eleven";"Twelve";"Thirteen";"Fourteen";"Fifteen";"Sixteen";"Seventeen";"Eighteen";"Nineteen"}</definedName>
    <definedName name="numbers" localSheetId="0">{"";"One";"Two";"Three";"Four";"Five";"Six";"Seven";"Eight";"Nine";"Ten";"Eleven";"Twelve";"Thirteen";"Fourteen";"Fifteen";"Sixteen";"Seventeen";"Eighteen";"Nineteen"}</definedName>
    <definedName name="numbers" localSheetId="401">{"";"One";"Two";"Three";"Four";"Five";"Six";"Seven";"Eight";"Nine";"Ten";"Eleven";"Twelve";"Thirteen";"Fourteen";"Fifteen";"Sixteen";"Seventeen";"Eighteen";"Nineteen"}</definedName>
    <definedName name="numbers" localSheetId="433">{"";"One";"Two";"Three";"Four";"Five";"Six";"Seven";"Eight";"Nine";"Ten";"Eleven";"Twelve";"Thirteen";"Fourteen";"Fifteen";"Sixteen";"Seventeen";"Eighteen";"Nineteen"}</definedName>
    <definedName name="numbers" localSheetId="417">{"";"One";"Two";"Three";"Four";"Five";"Six";"Seven";"Eight";"Nine";"Ten";"Eleven";"Twelve";"Thirteen";"Fourteen";"Fifteen";"Sixteen";"Seventeen";"Eighteen";"Nineteen"}</definedName>
    <definedName name="numbers" localSheetId="419">{"";"One";"Two";"Three";"Four";"Five";"Six";"Seven";"Eight";"Nine";"Ten";"Eleven";"Twelve";"Thirteen";"Fourteen";"Fifteen";"Sixteen";"Seventeen";"Eighteen";"Nineteen"}</definedName>
    <definedName name="numbers" localSheetId="76">{"";"One";"Two";"Three";"Four";"Five";"Six";"Seven";"Eight";"Nine";"Ten";"Eleven";"Twelve";"Thirteen";"Fourteen";"Fifteen";"Sixteen";"Seventeen";"Eighteen";"Nineteen"}</definedName>
    <definedName name="numbers" localSheetId="28">{"";"One";"Two";"Three";"Four";"Five";"Six";"Seven";"Eight";"Nine";"Ten";"Eleven";"Twelve";"Thirteen";"Fourteen";"Fifteen";"Sixteen";"Seventeen";"Eighteen";"Nineteen"}</definedName>
    <definedName name="numbers" localSheetId="24">{"";"One";"Two";"Three";"Four";"Five";"Six";"Seven";"Eight";"Nine";"Ten";"Eleven";"Twelve";"Thirteen";"Fourteen";"Fifteen";"Sixteen";"Seventeen";"Eighteen";"Nineteen"}</definedName>
    <definedName name="numbers" localSheetId="80">{"";"One";"Two";"Three";"Four";"Five";"Six";"Seven";"Eight";"Nine";"Ten";"Eleven";"Twelve";"Thirteen";"Fourteen";"Fifteen";"Sixteen";"Seventeen";"Eighteen";"Nineteen"}</definedName>
    <definedName name="numbers" localSheetId="3">{"";"One";"Two";"Three";"Four";"Five";"Six";"Seven";"Eight";"Nine";"Ten";"Eleven";"Twelve";"Thirteen";"Fourteen";"Fifteen";"Sixteen";"Seventeen";"Eighteen";"Nineteen"}</definedName>
    <definedName name="numbers" localSheetId="34">{"";"One";"Two";"Three";"Four";"Five";"Six";"Seven";"Eight";"Nine";"Ten";"Eleven";"Twelve";"Thirteen";"Fourteen";"Fifteen";"Sixteen";"Seventeen";"Eighteen";"Nineteen"}</definedName>
    <definedName name="numbers" localSheetId="35">{"";"One";"Two";"Three";"Four";"Five";"Six";"Seven";"Eight";"Nine";"Ten";"Eleven";"Twelve";"Thirteen";"Fourteen";"Fifteen";"Sixteen";"Seventeen";"Eighteen";"Nineteen"}</definedName>
    <definedName name="numbers" localSheetId="44">{"";"One";"Two";"Three";"Four";"Five";"Six";"Seven";"Eight";"Nine";"Ten";"Eleven";"Twelve";"Thirteen";"Fourteen";"Fifteen";"Sixteen";"Seventeen";"Eighteen";"Nineteen"}</definedName>
    <definedName name="numbers" localSheetId="410">{"";"One";"Two";"Three";"Four";"Five";"Six";"Seven";"Eight";"Nine";"Ten";"Eleven";"Twelve";"Thirteen";"Fourteen";"Fifteen";"Sixteen";"Seventeen";"Eighteen";"Nineteen"}</definedName>
    <definedName name="numbers" localSheetId="23">{"";"One";"Two";"Three";"Four";"Five";"Six";"Seven";"Eight";"Nine";"Ten";"Eleven";"Twelve";"Thirteen";"Fourteen";"Fifteen";"Sixteen";"Seventeen";"Eighteen";"Nineteen"}</definedName>
    <definedName name="numbers" localSheetId="427">{"";"One";"Two";"Three";"Four";"Five";"Six";"Seven";"Eight";"Nine";"Ten";"Eleven";"Twelve";"Thirteen";"Fourteen";"Fifteen";"Sixteen";"Seventeen";"Eighteen";"Nineteen"}</definedName>
    <definedName name="numbers" localSheetId="45">{"";"One";"Two";"Three";"Four";"Five";"Six";"Seven";"Eight";"Nine";"Ten";"Eleven";"Twelve";"Thirteen";"Fourteen";"Fifteen";"Sixteen";"Seventeen";"Eighteen";"Nineteen"}</definedName>
    <definedName name="numbers" localSheetId="57">{"";"One";"Two";"Three";"Four";"Five";"Six";"Seven";"Eight";"Nine";"Ten";"Eleven";"Twelve";"Thirteen";"Fourteen";"Fifteen";"Sixteen";"Seventeen";"Eighteen";"Nineteen"}</definedName>
    <definedName name="numbers" localSheetId="37">{"";"One";"Two";"Three";"Four";"Five";"Six";"Seven";"Eight";"Nine";"Ten";"Eleven";"Twelve";"Thirteen";"Fourteen";"Fifteen";"Sixteen";"Seventeen";"Eighteen";"Nineteen"}</definedName>
    <definedName name="numbers" localSheetId="72">{"";"One";"Two";"Three";"Four";"Five";"Six";"Seven";"Eight";"Nine";"Ten";"Eleven";"Twelve";"Thirteen";"Fourteen";"Fifteen";"Sixteen";"Seventeen";"Eighteen";"Nineteen"}</definedName>
    <definedName name="numbers" localSheetId="498">{"";"One";"Two";"Three";"Four";"Five";"Six";"Seven";"Eight";"Nine";"Ten";"Eleven";"Twelve";"Thirteen";"Fourteen";"Fifteen";"Sixteen";"Seventeen";"Eighteen";"Nineteen"}</definedName>
    <definedName name="numbers" localSheetId="485">{"";"One";"Two";"Three";"Four";"Five";"Six";"Seven";"Eight";"Nine";"Ten";"Eleven";"Twelve";"Thirteen";"Fourteen";"Fifteen";"Sixteen";"Seventeen";"Eighteen";"Nineteen"}</definedName>
    <definedName name="numbers" localSheetId="480">{"";"One";"Two";"Three";"Four";"Five";"Six";"Seven";"Eight";"Nine";"Ten";"Eleven";"Twelve";"Thirteen";"Fourteen";"Fifteen";"Sixteen";"Seventeen";"Eighteen";"Nineteen"}</definedName>
    <definedName name="numbers" localSheetId="84">{"";"One";"Two";"Three";"Four";"Five";"Six";"Seven";"Eight";"Nine";"Ten";"Eleven";"Twelve";"Thirteen";"Fourteen";"Fifteen";"Sixteen";"Seventeen";"Eighteen";"Nineteen"}</definedName>
    <definedName name="numbers" localSheetId="499">{"";"One";"Two";"Three";"Four";"Five";"Six";"Seven";"Eight";"Nine";"Ten";"Eleven";"Twelve";"Thirteen";"Fourteen";"Fifteen";"Sixteen";"Seventeen";"Eighteen";"Nineteen"}</definedName>
    <definedName name="numbers" localSheetId="466">{"";"One";"Two";"Three";"Four";"Five";"Six";"Seven";"Eight";"Nine";"Ten";"Eleven";"Twelve";"Thirteen";"Fourteen";"Fifteen";"Sixteen";"Seventeen";"Eighteen";"Nineteen"}</definedName>
    <definedName name="numbers" localSheetId="507">{"";"One";"Two";"Three";"Four";"Five";"Six";"Seven";"Eight";"Nine";"Ten";"Eleven";"Twelve";"Thirteen";"Fourteen";"Fifteen";"Sixteen";"Seventeen";"Eighteen";"Nineteen"}</definedName>
    <definedName name="numbers" localSheetId="518">{"";"One";"Two";"Three";"Four";"Five";"Six";"Seven";"Eight";"Nine";"Ten";"Eleven";"Twelve";"Thirteen";"Fourteen";"Fifteen";"Sixteen";"Seventeen";"Eighteen";"Nineteen"}</definedName>
    <definedName name="numbers" localSheetId="97">{"";"One";"Two";"Three";"Four";"Five";"Six";"Seven";"Eight";"Nine";"Ten";"Eleven";"Twelve";"Thirteen";"Fourteen";"Fifteen";"Sixteen";"Seventeen";"Eighteen";"Nineteen"}</definedName>
    <definedName name="numbers" localSheetId="520">{"";"One";"Two";"Three";"Four";"Five";"Six";"Seven";"Eight";"Nine";"Ten";"Eleven";"Twelve";"Thirteen";"Fourteen";"Fifteen";"Sixteen";"Seventeen";"Eighteen";"Nineteen"}</definedName>
    <definedName name="numbers" localSheetId="479">{"";"One";"Two";"Three";"Four";"Five";"Six";"Seven";"Eight";"Nine";"Ten";"Eleven";"Twelve";"Thirteen";"Fourteen";"Fifteen";"Sixteen";"Seventeen";"Eighteen";"Nineteen"}</definedName>
    <definedName name="numbers" localSheetId="501">{"";"One";"Two";"Three";"Four";"Five";"Six";"Seven";"Eight";"Nine";"Ten";"Eleven";"Twelve";"Thirteen";"Fourteen";"Fifteen";"Sixteen";"Seventeen";"Eighteen";"Nineteen"}</definedName>
    <definedName name="numbers" localSheetId="85">{"";"One";"Two";"Three";"Four";"Five";"Six";"Seven";"Eight";"Nine";"Ten";"Eleven";"Twelve";"Thirteen";"Fourteen";"Fifteen";"Sixteen";"Seventeen";"Eighteen";"Nineteen"}</definedName>
    <definedName name="numbers" localSheetId="505">{"";"One";"Two";"Three";"Four";"Five";"Six";"Seven";"Eight";"Nine";"Ten";"Eleven";"Twelve";"Thirteen";"Fourteen";"Fifteen";"Sixteen";"Seventeen";"Eighteen";"Nineteen"}</definedName>
    <definedName name="numbers" localSheetId="527">{"";"One";"Two";"Three";"Four";"Five";"Six";"Seven";"Eight";"Nine";"Ten";"Eleven";"Twelve";"Thirteen";"Fourteen";"Fifteen";"Sixteen";"Seventeen";"Eighteen";"Nineteen"}</definedName>
    <definedName name="numbers" localSheetId="486">{"";"One";"Two";"Three";"Four";"Five";"Six";"Seven";"Eight";"Nine";"Ten";"Eleven";"Twelve";"Thirteen";"Fourteen";"Fifteen";"Sixteen";"Seventeen";"Eighteen";"Nineteen"}</definedName>
    <definedName name="numbers" localSheetId="512">{"";"One";"Two";"Three";"Four";"Five";"Six";"Seven";"Eight";"Nine";"Ten";"Eleven";"Twelve";"Thirteen";"Fourteen";"Fifteen";"Sixteen";"Seventeen";"Eighteen";"Nineteen"}</definedName>
    <definedName name="numbers" localSheetId="523">{"";"One";"Two";"Three";"Four";"Five";"Six";"Seven";"Eight";"Nine";"Ten";"Eleven";"Twelve";"Thirteen";"Fourteen";"Fifteen";"Sixteen";"Seventeen";"Eighteen";"Nineteen"}</definedName>
    <definedName name="numbers" localSheetId="506">{"";"One";"Two";"Three";"Four";"Five";"Six";"Seven";"Eight";"Nine";"Ten";"Eleven";"Twelve";"Thirteen";"Fourteen";"Fifteen";"Sixteen";"Seventeen";"Eighteen";"Nineteen"}</definedName>
    <definedName name="numbers" localSheetId="490">{"";"One";"Two";"Three";"Four";"Five";"Six";"Seven";"Eight";"Nine";"Ten";"Eleven";"Twelve";"Thirteen";"Fourteen";"Fifteen";"Sixteen";"Seventeen";"Eighteen";"Nineteen"}</definedName>
    <definedName name="numbers" localSheetId="528">{"";"One";"Two";"Three";"Four";"Five";"Six";"Seven";"Eight";"Nine";"Ten";"Eleven";"Twelve";"Thirteen";"Fourteen";"Fifteen";"Sixteen";"Seventeen";"Eighteen";"Nineteen"}</definedName>
    <definedName name="numbers" localSheetId="491">{"";"One";"Two";"Three";"Four";"Five";"Six";"Seven";"Eight";"Nine";"Ten";"Eleven";"Twelve";"Thirteen";"Fourteen";"Fifteen";"Sixteen";"Seventeen";"Eighteen";"Nineteen"}</definedName>
    <definedName name="numbers" localSheetId="526">{"";"One";"Two";"Three";"Four";"Five";"Six";"Seven";"Eight";"Nine";"Ten";"Eleven";"Twelve";"Thirteen";"Fourteen";"Fifteen";"Sixteen";"Seventeen";"Eighteen";"Nineteen"}</definedName>
    <definedName name="numbers" localSheetId="521">{"";"One";"Two";"Three";"Four";"Five";"Six";"Seven";"Eight";"Nine";"Ten";"Eleven";"Twelve";"Thirteen";"Fourteen";"Fifteen";"Sixteen";"Seventeen";"Eighteen";"Nineteen"}</definedName>
    <definedName name="numbers" localSheetId="95">{"";"One";"Two";"Three";"Four";"Five";"Six";"Seven";"Eight";"Nine";"Ten";"Eleven";"Twelve";"Thirteen";"Fourteen";"Fifteen";"Sixteen";"Seventeen";"Eighteen";"Nineteen"}</definedName>
    <definedName name="numbers" localSheetId="96">{"";"One";"Two";"Three";"Four";"Five";"Six";"Seven";"Eight";"Nine";"Ten";"Eleven";"Twelve";"Thirteen";"Fourteen";"Fifteen";"Sixteen";"Seventeen";"Eighteen";"Nineteen"}</definedName>
    <definedName name="numbers" localSheetId="1">{"";"One";"Two";"Three";"Four";"Five";"Six";"Seven";"Eight";"Nine";"Ten";"Eleven";"Twelve";"Thirteen";"Fourteen";"Fifteen";"Sixteen";"Seventeen";"Eighteen";"Nineteen"}</definedName>
    <definedName name="numbers" localSheetId="465">{"";"One";"Two";"Three";"Four";"Five";"Six";"Seven";"Eight";"Nine";"Ten";"Eleven";"Twelve";"Thirteen";"Fourteen";"Fifteen";"Sixteen";"Seventeen";"Eighteen";"Nineteen"}</definedName>
    <definedName name="numbers" localSheetId="495">{"";"One";"Two";"Three";"Four";"Five";"Six";"Seven";"Eight";"Nine";"Ten";"Eleven";"Twelve";"Thirteen";"Fourteen";"Fifteen";"Sixteen";"Seventeen";"Eighteen";"Nineteen"}</definedName>
    <definedName name="numbers" localSheetId="536">{"";"One";"Two";"Three";"Four";"Five";"Six";"Seven";"Eight";"Nine";"Ten";"Eleven";"Twelve";"Thirteen";"Fourteen";"Fifteen";"Sixteen";"Seventeen";"Eighteen";"Nineteen"}</definedName>
    <definedName name="numbers" localSheetId="476">{"";"One";"Two";"Three";"Four";"Five";"Six";"Seven";"Eight";"Nine";"Ten";"Eleven";"Twelve";"Thirteen";"Fourteen";"Fifteen";"Sixteen";"Seventeen";"Eighteen";"Nineteen"}</definedName>
    <definedName name="numbers" localSheetId="83">{"";"One";"Two";"Three";"Four";"Five";"Six";"Seven";"Eight";"Nine";"Ten";"Eleven";"Twelve";"Thirteen";"Fourteen";"Fifteen";"Sixteen";"Seventeen";"Eighteen";"Nineteen"}</definedName>
    <definedName name="numbers" localSheetId="503">{"";"One";"Two";"Three";"Four";"Five";"Six";"Seven";"Eight";"Nine";"Ten";"Eleven";"Twelve";"Thirteen";"Fourteen";"Fifteen";"Sixteen";"Seventeen";"Eighteen";"Nineteen"}</definedName>
    <definedName name="numbers" localSheetId="504">{"";"One";"Two";"Three";"Four";"Five";"Six";"Seven";"Eight";"Nine";"Ten";"Eleven";"Twelve";"Thirteen";"Fourteen";"Fifteen";"Sixteen";"Seventeen";"Eighteen";"Nineteen"}</definedName>
    <definedName name="numbers" localSheetId="89">{"";"One";"Two";"Three";"Four";"Five";"Six";"Seven";"Eight";"Nine";"Ten";"Eleven";"Twelve";"Thirteen";"Fourteen";"Fifteen";"Sixteen";"Seventeen";"Eighteen";"Nineteen"}</definedName>
    <definedName name="numbers" localSheetId="484">{"";"One";"Two";"Three";"Four";"Five";"Six";"Seven";"Eight";"Nine";"Ten";"Eleven";"Twelve";"Thirteen";"Fourteen";"Fifteen";"Sixteen";"Seventeen";"Eighteen";"Nineteen"}</definedName>
    <definedName name="numbers" localSheetId="516">{"";"One";"Two";"Three";"Four";"Five";"Six";"Seven";"Eight";"Nine";"Ten";"Eleven";"Twelve";"Thirteen";"Fourteen";"Fifteen";"Sixteen";"Seventeen";"Eighteen";"Nineteen"}</definedName>
    <definedName name="numbers" localSheetId="473">{"";"One";"Two";"Three";"Four";"Five";"Six";"Seven";"Eight";"Nine";"Ten";"Eleven";"Twelve";"Thirteen";"Fourteen";"Fifteen";"Sixteen";"Seventeen";"Eighteen";"Nineteen"}</definedName>
    <definedName name="numbers" localSheetId="497">{"";"One";"Two";"Three";"Four";"Five";"Six";"Seven";"Eight";"Nine";"Ten";"Eleven";"Twelve";"Thirteen";"Fourteen";"Fifteen";"Sixteen";"Seventeen";"Eighteen";"Nineteen"}</definedName>
    <definedName name="numbers" localSheetId="582">{"";"One";"Two";"Three";"Four";"Five";"Six";"Seven";"Eight";"Nine";"Ten";"Eleven";"Twelve";"Thirteen";"Fourteen";"Fifteen";"Sixteen";"Seventeen";"Eighteen";"Nineteen"}</definedName>
    <definedName name="numbers" localSheetId="525">{"";"One";"Two";"Three";"Four";"Five";"Six";"Seven";"Eight";"Nine";"Ten";"Eleven";"Twelve";"Thirteen";"Fourteen";"Fifteen";"Sixteen";"Seventeen";"Eighteen";"Nineteen"}</definedName>
    <definedName name="numbers" localSheetId="522">{"";"One";"Two";"Three";"Four";"Five";"Six";"Seven";"Eight";"Nine";"Ten";"Eleven";"Twelve";"Thirteen";"Fourteen";"Fifteen";"Sixteen";"Seventeen";"Eighteen";"Nineteen"}</definedName>
    <definedName name="numbers" localSheetId="468">{"";"One";"Two";"Three";"Four";"Five";"Six";"Seven";"Eight";"Nine";"Ten";"Eleven";"Twelve";"Thirteen";"Fourteen";"Fifteen";"Sixteen";"Seventeen";"Eighteen";"Nineteen"}</definedName>
    <definedName name="numbers" localSheetId="462">{"";"One";"Two";"Three";"Four";"Five";"Six";"Seven";"Eight";"Nine";"Ten";"Eleven";"Twelve";"Thirteen";"Fourteen";"Fifteen";"Sixteen";"Seventeen";"Eighteen";"Nineteen"}</definedName>
    <definedName name="numbers" localSheetId="510">{"";"One";"Two";"Three";"Four";"Five";"Six";"Seven";"Eight";"Nine";"Ten";"Eleven";"Twelve";"Thirteen";"Fourteen";"Fifteen";"Sixteen";"Seventeen";"Eighteen";"Nineteen"}</definedName>
    <definedName name="numbers" localSheetId="483">{"";"One";"Two";"Three";"Four";"Five";"Six";"Seven";"Eight";"Nine";"Ten";"Eleven";"Twelve";"Thirteen";"Fourteen";"Fifteen";"Sixteen";"Seventeen";"Eighteen";"Nineteen"}</definedName>
    <definedName name="numbers" localSheetId="87">{"";"One";"Two";"Three";"Four";"Five";"Six";"Seven";"Eight";"Nine";"Ten";"Eleven";"Twelve";"Thirteen";"Fourteen";"Fifteen";"Sixteen";"Seventeen";"Eighteen";"Nineteen"}</definedName>
    <definedName name="numbers" localSheetId="86">{"";"One";"Two";"Three";"Four";"Five";"Six";"Seven";"Eight";"Nine";"Ten";"Eleven";"Twelve";"Thirteen";"Fourteen";"Fifteen";"Sixteen";"Seventeen";"Eighteen";"Nineteen"}</definedName>
    <definedName name="numbers" localSheetId="477">{"";"One";"Two";"Three";"Four";"Five";"Six";"Seven";"Eight";"Nine";"Ten";"Eleven";"Twelve";"Thirteen";"Fourteen";"Fifteen";"Sixteen";"Seventeen";"Eighteen";"Nineteen"}</definedName>
    <definedName name="numbers" localSheetId="90">{"";"One";"Two";"Three";"Four";"Five";"Six";"Seven";"Eight";"Nine";"Ten";"Eleven";"Twelve";"Thirteen";"Fourteen";"Fifteen";"Sixteen";"Seventeen";"Eighteen";"Nineteen"}</definedName>
    <definedName name="numbers" localSheetId="91">{"";"One";"Two";"Three";"Four";"Five";"Six";"Seven";"Eight";"Nine";"Ten";"Eleven";"Twelve";"Thirteen";"Fourteen";"Fifteen";"Sixteen";"Seventeen";"Eighteen";"Nineteen"}</definedName>
    <definedName name="numbers" localSheetId="511">{"";"One";"Two";"Three";"Four";"Five";"Six";"Seven";"Eight";"Nine";"Ten";"Eleven";"Twelve";"Thirteen";"Fourteen";"Fifteen";"Sixteen";"Seventeen";"Eighteen";"Nineteen"}</definedName>
    <definedName name="numbers" localSheetId="471">{"";"One";"Two";"Three";"Four";"Five";"Six";"Seven";"Eight";"Nine";"Ten";"Eleven";"Twelve";"Thirteen";"Fourteen";"Fifteen";"Sixteen";"Seventeen";"Eighteen";"Nineteen"}</definedName>
    <definedName name="numbers" localSheetId="488">{"";"One";"Two";"Three";"Four";"Five";"Six";"Seven";"Eight";"Nine";"Ten";"Eleven";"Twelve";"Thirteen";"Fourteen";"Fifteen";"Sixteen";"Seventeen";"Eighteen";"Nineteen"}</definedName>
    <definedName name="numbers" localSheetId="478">{"";"One";"Two";"Three";"Four";"Five";"Six";"Seven";"Eight";"Nine";"Ten";"Eleven";"Twelve";"Thirteen";"Fourteen";"Fifteen";"Sixteen";"Seventeen";"Eighteen";"Nineteen"}</definedName>
    <definedName name="numbers" localSheetId="530">{"";"One";"Two";"Three";"Four";"Five";"Six";"Seven";"Eight";"Nine";"Ten";"Eleven";"Twelve";"Thirteen";"Fourteen";"Fifteen";"Sixteen";"Seventeen";"Eighteen";"Nineteen"}</definedName>
    <definedName name="numbers" localSheetId="531">{"";"One";"Two";"Three";"Four";"Five";"Six";"Seven";"Eight";"Nine";"Ten";"Eleven";"Twelve";"Thirteen";"Fourteen";"Fifteen";"Sixteen";"Seventeen";"Eighteen";"Nineteen"}</definedName>
    <definedName name="numbers" localSheetId="532">{"";"One";"Two";"Three";"Four";"Five";"Six";"Seven";"Eight";"Nine";"Ten";"Eleven";"Twelve";"Thirteen";"Fourteen";"Fifteen";"Sixteen";"Seventeen";"Eighteen";"Nineteen"}</definedName>
    <definedName name="numbers" localSheetId="533">{"";"One";"Two";"Three";"Four";"Five";"Six";"Seven";"Eight";"Nine";"Ten";"Eleven";"Twelve";"Thirteen";"Fourteen";"Fifteen";"Sixteen";"Seventeen";"Eighteen";"Nineteen"}</definedName>
    <definedName name="numbers" localSheetId="548">{"";"One";"Two";"Three";"Four";"Five";"Six";"Seven";"Eight";"Nine";"Ten";"Eleven";"Twelve";"Thirteen";"Fourteen";"Fifteen";"Sixteen";"Seventeen";"Eighteen";"Nineteen"}</definedName>
    <definedName name="numbers" localSheetId="464">{"";"One";"Two";"Three";"Four";"Five";"Six";"Seven";"Eight";"Nine";"Ten";"Eleven";"Twelve";"Thirteen";"Fourteen";"Fifteen";"Sixteen";"Seventeen";"Eighteen";"Nineteen"}</definedName>
    <definedName name="numbers" localSheetId="460">{"";"One";"Two";"Three";"Four";"Five";"Six";"Seven";"Eight";"Nine";"Ten";"Eleven";"Twelve";"Thirteen";"Fourteen";"Fifteen";"Sixteen";"Seventeen";"Eighteen";"Nineteen"}</definedName>
    <definedName name="numbers" localSheetId="456">{"";"One";"Two";"Three";"Four";"Five";"Six";"Seven";"Eight";"Nine";"Ten";"Eleven";"Twelve";"Thirteen";"Fourteen";"Fifteen";"Sixteen";"Seventeen";"Eighteen";"Nineteen"}</definedName>
    <definedName name="numbers" localSheetId="474">{"";"One";"Two";"Three";"Four";"Five";"Six";"Seven";"Eight";"Nine";"Ten";"Eleven";"Twelve";"Thirteen";"Fourteen";"Fifteen";"Sixteen";"Seventeen";"Eighteen";"Nineteen"}</definedName>
    <definedName name="numbers" localSheetId="508">{"";"One";"Two";"Three";"Four";"Five";"Six";"Seven";"Eight";"Nine";"Ten";"Eleven";"Twelve";"Thirteen";"Fourteen";"Fifteen";"Sixteen";"Seventeen";"Eighteen";"Nineteen"}</definedName>
    <definedName name="numbers" localSheetId="454">{"";"One";"Two";"Three";"Four";"Five";"Six";"Seven";"Eight";"Nine";"Ten";"Eleven";"Twelve";"Thirteen";"Fourteen";"Fifteen";"Sixteen";"Seventeen";"Eighteen";"Nineteen"}</definedName>
    <definedName name="numbers" localSheetId="93">{"";"One";"Two";"Three";"Four";"Five";"Six";"Seven";"Eight";"Nine";"Ten";"Eleven";"Twelve";"Thirteen";"Fourteen";"Fifteen";"Sixteen";"Seventeen";"Eighteen";"Nineteen"}</definedName>
    <definedName name="numbers" localSheetId="451">{"";"One";"Two";"Three";"Four";"Five";"Six";"Seven";"Eight";"Nine";"Ten";"Eleven";"Twelve";"Thirteen";"Fourteen";"Fifteen";"Sixteen";"Seventeen";"Eighteen";"Nineteen"}</definedName>
    <definedName name="numbers" localSheetId="515">{"";"One";"Two";"Three";"Four";"Five";"Six";"Seven";"Eight";"Nine";"Ten";"Eleven";"Twelve";"Thirteen";"Fourteen";"Fifteen";"Sixteen";"Seventeen";"Eighteen";"Nineteen"}</definedName>
    <definedName name="numbers" localSheetId="539">{"";"One";"Two";"Three";"Four";"Five";"Six";"Seven";"Eight";"Nine";"Ten";"Eleven";"Twelve";"Thirteen";"Fourteen";"Fifteen";"Sixteen";"Seventeen";"Eighteen";"Nineteen"}</definedName>
    <definedName name="numbers" localSheetId="513">{"";"One";"Two";"Three";"Four";"Five";"Six";"Seven";"Eight";"Nine";"Ten";"Eleven";"Twelve";"Thirteen";"Fourteen";"Fifteen";"Sixteen";"Seventeen";"Eighteen";"Nineteen"}</definedName>
    <definedName name="numbers" localSheetId="519">{"";"One";"Two";"Three";"Four";"Five";"Six";"Seven";"Eight";"Nine";"Ten";"Eleven";"Twelve";"Thirteen";"Fourteen";"Fifteen";"Sixteen";"Seventeen";"Eighteen";"Nineteen"}</definedName>
    <definedName name="numbers" localSheetId="467">{"";"One";"Two";"Three";"Four";"Five";"Six";"Seven";"Eight";"Nine";"Ten";"Eleven";"Twelve";"Thirteen";"Fourteen";"Fifteen";"Sixteen";"Seventeen";"Eighteen";"Nineteen"}</definedName>
    <definedName name="numbers" localSheetId="493">{"";"One";"Two";"Three";"Four";"Five";"Six";"Seven";"Eight";"Nine";"Ten";"Eleven";"Twelve";"Thirteen";"Fourteen";"Fifteen";"Sixteen";"Seventeen";"Eighteen";"Nineteen"}</definedName>
    <definedName name="numbers" localSheetId="502">{"";"One";"Two";"Three";"Four";"Five";"Six";"Seven";"Eight";"Nine";"Ten";"Eleven";"Twelve";"Thirteen";"Fourteen";"Fifteen";"Sixteen";"Seventeen";"Eighteen";"Nineteen"}</definedName>
    <definedName name="numbers" localSheetId="496">{"";"One";"Two";"Three";"Four";"Five";"Six";"Seven";"Eight";"Nine";"Ten";"Eleven";"Twelve";"Thirteen";"Fourteen";"Fifteen";"Sixteen";"Seventeen";"Eighteen";"Nineteen"}</definedName>
    <definedName name="numbers" localSheetId="92">{"";"One";"Two";"Three";"Four";"Five";"Six";"Seven";"Eight";"Nine";"Ten";"Eleven";"Twelve";"Thirteen";"Fourteen";"Fifteen";"Sixteen";"Seventeen";"Eighteen";"Nineteen"}</definedName>
    <definedName name="numbers" localSheetId="500">{"";"One";"Two";"Three";"Four";"Five";"Six";"Seven";"Eight";"Nine";"Ten";"Eleven";"Twelve";"Thirteen";"Fourteen";"Fifteen";"Sixteen";"Seventeen";"Eighteen";"Nineteen"}</definedName>
    <definedName name="numbers" localSheetId="5">{"";"One";"Two";"Three";"Four";"Five";"Six";"Seven";"Eight";"Nine";"Ten";"Eleven";"Twelve";"Thirteen";"Fourteen";"Fifteen";"Sixteen";"Seventeen";"Eighteen";"Nineteen"}</definedName>
    <definedName name="numbers" localSheetId="524">{"";"One";"Two";"Three";"Four";"Five";"Six";"Seven";"Eight";"Nine";"Ten";"Eleven";"Twelve";"Thirteen";"Fourteen";"Fifteen";"Sixteen";"Seventeen";"Eighteen";"Nineteen"}</definedName>
    <definedName name="numbers" localSheetId="489">{"";"One";"Two";"Three";"Four";"Five";"Six";"Seven";"Eight";"Nine";"Ten";"Eleven";"Twelve";"Thirteen";"Fourteen";"Fifteen";"Sixteen";"Seventeen";"Eighteen";"Nineteen"}</definedName>
    <definedName name="numbers" localSheetId="88">{"";"One";"Two";"Three";"Four";"Five";"Six";"Seven";"Eight";"Nine";"Ten";"Eleven";"Twelve";"Thirteen";"Fourteen";"Fifteen";"Sixteen";"Seventeen";"Eighteen";"Nineteen"}</definedName>
    <definedName name="numbers" localSheetId="11">{"";"One";"Two";"Three";"Four";"Five";"Six";"Seven";"Eight";"Nine";"Ten";"Eleven";"Twelve";"Thirteen";"Fourteen";"Fifteen";"Sixteen";"Seventeen";"Eighteen";"Nineteen"}</definedName>
    <definedName name="numbers" localSheetId="517">{"";"One";"Two";"Three";"Four";"Five";"Six";"Seven";"Eight";"Nine";"Ten";"Eleven";"Twelve";"Thirteen";"Fourteen";"Fifteen";"Sixteen";"Seventeen";"Eighteen";"Nineteen"}</definedName>
    <definedName name="numbers" localSheetId="469">{"";"One";"Two";"Three";"Four";"Five";"Six";"Seven";"Eight";"Nine";"Ten";"Eleven";"Twelve";"Thirteen";"Fourteen";"Fifteen";"Sixteen";"Seventeen";"Eighteen";"Nineteen"}</definedName>
    <definedName name="numbers" localSheetId="472">{"";"One";"Two";"Three";"Four";"Five";"Six";"Seven";"Eight";"Nine";"Ten";"Eleven";"Twelve";"Thirteen";"Fourteen";"Fifteen";"Sixteen";"Seventeen";"Eighteen";"Nineteen"}</definedName>
    <definedName name="numbers" localSheetId="537">{"";"One";"Two";"Three";"Four";"Five";"Six";"Seven";"Eight";"Nine";"Ten";"Eleven";"Twelve";"Thirteen";"Fourteen";"Fifteen";"Sixteen";"Seventeen";"Eighteen";"Nineteen"}</definedName>
    <definedName name="numbers" localSheetId="487">{"";"One";"Two";"Three";"Four";"Five";"Six";"Seven";"Eight";"Nine";"Ten";"Eleven";"Twelve";"Thirteen";"Fourteen";"Fifteen";"Sixteen";"Seventeen";"Eighteen";"Nineteen"}</definedName>
    <definedName name="numbers" localSheetId="475">{"";"One";"Two";"Three";"Four";"Five";"Six";"Seven";"Eight";"Nine";"Ten";"Eleven";"Twelve";"Thirteen";"Fourteen";"Fifteen";"Sixteen";"Seventeen";"Eighteen";"Nineteen"}</definedName>
    <definedName name="numbers" localSheetId="514">{"";"One";"Two";"Three";"Four";"Five";"Six";"Seven";"Eight";"Nine";"Ten";"Eleven";"Twelve";"Thirteen";"Fourteen";"Fifteen";"Sixteen";"Seventeen";"Eighteen";"Nineteen"}</definedName>
    <definedName name="numbers" localSheetId="492">{"";"One";"Two";"Three";"Four";"Five";"Six";"Seven";"Eight";"Nine";"Ten";"Eleven";"Twelve";"Thirteen";"Fourteen";"Fifteen";"Sixteen";"Seventeen";"Eighteen";"Nineteen"}</definedName>
    <definedName name="numbers" localSheetId="549">{"";"One";"Two";"Three";"Four";"Five";"Six";"Seven";"Eight";"Nine";"Ten";"Eleven";"Twelve";"Thirteen";"Fourteen";"Fifteen";"Sixteen";"Seventeen";"Eighteen";"Nineteen"}</definedName>
    <definedName name="numbers" localSheetId="470">{"";"One";"Two";"Three";"Four";"Five";"Six";"Seven";"Eight";"Nine";"Ten";"Eleven";"Twelve";"Thirteen";"Fourteen";"Fifteen";"Sixteen";"Seventeen";"Eighteen";"Nineteen"}</definedName>
    <definedName name="numbers" localSheetId="482">{"";"One";"Two";"Three";"Four";"Five";"Six";"Seven";"Eight";"Nine";"Ten";"Eleven";"Twelve";"Thirteen";"Fourteen";"Fifteen";"Sixteen";"Seventeen";"Eighteen";"Nineteen"}</definedName>
    <definedName name="numbers" localSheetId="562">{"";"One";"Two";"Three";"Four";"Five";"Six";"Seven";"Eight";"Nine";"Ten";"Eleven";"Twelve";"Thirteen";"Fourteen";"Fifteen";"Sixteen";"Seventeen";"Eighteen";"Nineteen"}</definedName>
    <definedName name="numbers" localSheetId="558">{"";"One";"Two";"Three";"Four";"Five";"Six";"Seven";"Eight";"Nine";"Ten";"Eleven";"Twelve";"Thirteen";"Fourteen";"Fifteen";"Sixteen";"Seventeen";"Eighteen";"Nineteen"}</definedName>
    <definedName name="numbers" localSheetId="556">{"";"One";"Two";"Three";"Four";"Five";"Six";"Seven";"Eight";"Nine";"Ten";"Eleven";"Twelve";"Thirteen";"Fourteen";"Fifteen";"Sixteen";"Seventeen";"Eighteen";"Nineteen"}</definedName>
    <definedName name="numbers" localSheetId="560">{"";"One";"Two";"Three";"Four";"Five";"Six";"Seven";"Eight";"Nine";"Ten";"Eleven";"Twelve";"Thirteen";"Fourteen";"Fifteen";"Sixteen";"Seventeen";"Eighteen";"Nineteen"}</definedName>
    <definedName name="numbers" localSheetId="557">{"";"One";"Two";"Three";"Four";"Five";"Six";"Seven";"Eight";"Nine";"Ten";"Eleven";"Twelve";"Thirteen";"Fourteen";"Fifteen";"Sixteen";"Seventeen";"Eighteen";"Nineteen"}</definedName>
    <definedName name="numbers" localSheetId="559">{"";"One";"Two";"Three";"Four";"Five";"Six";"Seven";"Eight";"Nine";"Ten";"Eleven";"Twelve";"Thirteen";"Fourteen";"Fifteen";"Sixteen";"Seventeen";"Eighteen";"Nineteen"}</definedName>
    <definedName name="numbers" localSheetId="561">{"";"One";"Two";"Three";"Four";"Five";"Six";"Seven";"Eight";"Nine";"Ten";"Eleven";"Twelve";"Thirteen";"Fourteen";"Fifteen";"Sixteen";"Seventeen";"Eighteen";"Nineteen"}</definedName>
    <definedName name="numbers" localSheetId="570">{"";"One";"Two";"Three";"Four";"Five";"Six";"Seven";"Eight";"Nine";"Ten";"Eleven";"Twelve";"Thirteen";"Fourteen";"Fifteen";"Sixteen";"Seventeen";"Eighteen";"Nineteen"}</definedName>
    <definedName name="numbers" localSheetId="569">{"";"One";"Two";"Three";"Four";"Five";"Six";"Seven";"Eight";"Nine";"Ten";"Eleven";"Twelve";"Thirteen";"Fourteen";"Fifteen";"Sixteen";"Seventeen";"Eighteen";"Nineteen"}</definedName>
    <definedName name="numbers" localSheetId="565">{"";"One";"Two";"Three";"Four";"Five";"Six";"Seven";"Eight";"Nine";"Ten";"Eleven";"Twelve";"Thirteen";"Fourteen";"Fifteen";"Sixteen";"Seventeen";"Eighteen";"Nineteen"}</definedName>
    <definedName name="numbers" localSheetId="566">{"";"One";"Two";"Three";"Four";"Five";"Six";"Seven";"Eight";"Nine";"Ten";"Eleven";"Twelve";"Thirteen";"Fourteen";"Fifteen";"Sixteen";"Seventeen";"Eighteen";"Nineteen"}</definedName>
    <definedName name="numbers" localSheetId="567">{"";"One";"Two";"Three";"Four";"Five";"Six";"Seven";"Eight";"Nine";"Ten";"Eleven";"Twelve";"Thirteen";"Fourteen";"Fifteen";"Sixteen";"Seventeen";"Eighteen";"Nineteen"}</definedName>
    <definedName name="numbers" localSheetId="571">{"";"One";"Two";"Three";"Four";"Five";"Six";"Seven";"Eight";"Nine";"Ten";"Eleven";"Twelve";"Thirteen";"Fourteen";"Fifteen";"Sixteen";"Seventeen";"Eighteen";"Nineteen"}</definedName>
    <definedName name="numbers" localSheetId="568">{"";"One";"Two";"Three";"Four";"Five";"Six";"Seven";"Eight";"Nine";"Ten";"Eleven";"Twelve";"Thirteen";"Fourteen";"Fifteen";"Sixteen";"Seventeen";"Eighteen";"Nineteen"}</definedName>
    <definedName name="numbers" localSheetId="576">{"";"One";"Two";"Three";"Four";"Five";"Six";"Seven";"Eight";"Nine";"Ten";"Eleven";"Twelve";"Thirteen";"Fourteen";"Fifteen";"Sixteen";"Seventeen";"Eighteen";"Nineteen"}</definedName>
    <definedName name="numbers" localSheetId="577">{"";"One";"Two";"Three";"Four";"Five";"Six";"Seven";"Eight";"Nine";"Ten";"Eleven";"Twelve";"Thirteen";"Fourteen";"Fifteen";"Sixteen";"Seventeen";"Eighteen";"Nineteen"}</definedName>
    <definedName name="numbers" localSheetId="578">{"";"One";"Two";"Three";"Four";"Five";"Six";"Seven";"Eight";"Nine";"Ten";"Eleven";"Twelve";"Thirteen";"Fourteen";"Fifteen";"Sixteen";"Seventeen";"Eighteen";"Nineteen"}</definedName>
    <definedName name="numbers" localSheetId="591">{"";"One";"Two";"Three";"Four";"Five";"Six";"Seven";"Eight";"Nine";"Ten";"Eleven";"Twelve";"Thirteen";"Fourteen";"Fifteen";"Sixteen";"Seventeen";"Eighteen";"Nineteen"}</definedName>
    <definedName name="numbers" localSheetId="580">{"";"One";"Two";"Three";"Four";"Five";"Six";"Seven";"Eight";"Nine";"Ten";"Eleven";"Twelve";"Thirteen";"Fourteen";"Fifteen";"Sixteen";"Seventeen";"Eighteen";"Nineteen"}</definedName>
    <definedName name="numbers" localSheetId="579">{"";"One";"Two";"Three";"Four";"Five";"Six";"Seven";"Eight";"Nine";"Ten";"Eleven";"Twelve";"Thirteen";"Fourteen";"Fifteen";"Sixteen";"Seventeen";"Eighteen";"Nineteen"}</definedName>
    <definedName name="numbers" localSheetId="586">{"";"One";"Two";"Three";"Four";"Five";"Six";"Seven";"Eight";"Nine";"Ten";"Eleven";"Twelve";"Thirteen";"Fourteen";"Fifteen";"Sixteen";"Seventeen";"Eighteen";"Nineteen"}</definedName>
    <definedName name="numbers" localSheetId="583">{"";"One";"Two";"Three";"Four";"Five";"Six";"Seven";"Eight";"Nine";"Ten";"Eleven";"Twelve";"Thirteen";"Fourteen";"Fifteen";"Sixteen";"Seventeen";"Eighteen";"Nineteen"}</definedName>
    <definedName name="numbers" localSheetId="584">{"";"One";"Two";"Three";"Four";"Five";"Six";"Seven";"Eight";"Nine";"Ten";"Eleven";"Twelve";"Thirteen";"Fourteen";"Fifteen";"Sixteen";"Seventeen";"Eighteen";"Nineteen"}</definedName>
    <definedName name="numbers" localSheetId="585">{"";"One";"Two";"Three";"Four";"Five";"Six";"Seven";"Eight";"Nine";"Ten";"Eleven";"Twelve";"Thirteen";"Fourteen";"Fifteen";"Sixteen";"Seventeen";"Eighteen";"Nineteen"}</definedName>
    <definedName name="numbers" localSheetId="588">{"";"One";"Two";"Three";"Four";"Five";"Six";"Seven";"Eight";"Nine";"Ten";"Eleven";"Twelve";"Thirteen";"Fourteen";"Fifteen";"Sixteen";"Seventeen";"Eighteen";"Nineteen"}</definedName>
    <definedName name="numbers" localSheetId="597">{"";"One";"Two";"Three";"Four";"Five";"Six";"Seven";"Eight";"Nine";"Ten";"Eleven";"Twelve";"Thirteen";"Fourteen";"Fifteen";"Sixteen";"Seventeen";"Eighteen";"Nineteen"}</definedName>
    <definedName name="numbers" localSheetId="599">{"";"One";"Two";"Three";"Four";"Five";"Six";"Seven";"Eight";"Nine";"Ten";"Eleven";"Twelve";"Thirteen";"Fourteen";"Fifteen";"Sixteen";"Seventeen";"Eighteen";"Nineteen"}</definedName>
    <definedName name="numbers" localSheetId="598">{"";"One";"Two";"Three";"Four";"Five";"Six";"Seven";"Eight";"Nine";"Ten";"Eleven";"Twelve";"Thirteen";"Fourteen";"Fifteen";"Sixteen";"Seventeen";"Eighteen";"Nineteen"}</definedName>
    <definedName name="numbers" localSheetId="608">{"";"One";"Two";"Three";"Four";"Five";"Six";"Seven";"Eight";"Nine";"Ten";"Eleven";"Twelve";"Thirteen";"Fourteen";"Fifteen";"Sixteen";"Seventeen";"Eighteen";"Nineteen"}</definedName>
    <definedName name="numbers" localSheetId="606">{"";"One";"Two";"Three";"Four";"Five";"Six";"Seven";"Eight";"Nine";"Ten";"Eleven";"Twelve";"Thirteen";"Fourteen";"Fifteen";"Sixteen";"Seventeen";"Eighteen";"Nineteen"}</definedName>
    <definedName name="numbers" localSheetId="604">{"";"One";"Two";"Three";"Four";"Five";"Six";"Seven";"Eight";"Nine";"Ten";"Eleven";"Twelve";"Thirteen";"Fourteen";"Fifteen";"Sixteen";"Seventeen";"Eighteen";"Nineteen"}</definedName>
    <definedName name="numbers" localSheetId="607">{"";"One";"Two";"Three";"Four";"Five";"Six";"Seven";"Eight";"Nine";"Ten";"Eleven";"Twelve";"Thirteen";"Fourteen";"Fifteen";"Sixteen";"Seventeen";"Eighteen";"Nineteen"}</definedName>
    <definedName name="numbers" localSheetId="614">{"";"One";"Two";"Three";"Four";"Five";"Six";"Seven";"Eight";"Nine";"Ten";"Eleven";"Twelve";"Thirteen";"Fourteen";"Fifteen";"Sixteen";"Seventeen";"Eighteen";"Nineteen"}</definedName>
    <definedName name="numbers" localSheetId="613">{"";"One";"Two";"Three";"Four";"Five";"Six";"Seven";"Eight";"Nine";"Ten";"Eleven";"Twelve";"Thirteen";"Fourteen";"Fifteen";"Sixteen";"Seventeen";"Eighteen";"Nineteen"}</definedName>
    <definedName name="numbers" localSheetId="603">{"";"One";"Two";"Three";"Four";"Five";"Six";"Seven";"Eight";"Nine";"Ten";"Eleven";"Twelve";"Thirteen";"Fourteen";"Fifteen";"Sixteen";"Seventeen";"Eighteen";"Nineteen"}</definedName>
    <definedName name="numbers" localSheetId="240">{"";"One";"Two";"Three";"Four";"Five";"Six";"Seven";"Eight";"Nine";"Ten";"Eleven";"Twelve";"Thirteen";"Fourteen";"Fifteen";"Sixteen";"Seventeen";"Eighteen";"Nineteen"}</definedName>
    <definedName name="numbers" localSheetId="600">{"";"One";"Two";"Three";"Four";"Five";"Six";"Seven";"Eight";"Nine";"Ten";"Eleven";"Twelve";"Thirteen";"Fourteen";"Fifteen";"Sixteen";"Seventeen";"Eighteen";"Nineteen"}</definedName>
    <definedName name="numbers" localSheetId="602">{"";"One";"Two";"Three";"Four";"Five";"Six";"Seven";"Eight";"Nine";"Ten";"Eleven";"Twelve";"Thirteen";"Fourteen";"Fifteen";"Sixteen";"Seventeen";"Eighteen";"Nineteen"}</definedName>
    <definedName name="numbers" localSheetId="617">{"";"One";"Two";"Three";"Four";"Five";"Six";"Seven";"Eight";"Nine";"Ten";"Eleven";"Twelve";"Thirteen";"Fourteen";"Fifteen";"Sixteen";"Seventeen";"Eighteen";"Nineteen"}</definedName>
    <definedName name="numbers" localSheetId="618">{"";"One";"Two";"Three";"Four";"Five";"Six";"Seven";"Eight";"Nine";"Ten";"Eleven";"Twelve";"Thirteen";"Fourteen";"Fifteen";"Sixteen";"Seventeen";"Eighteen";"Nineteen"}</definedName>
    <definedName name="numbers" localSheetId="610">{"";"One";"Two";"Three";"Four";"Five";"Six";"Seven";"Eight";"Nine";"Ten";"Eleven";"Twelve";"Thirteen";"Fourteen";"Fifteen";"Sixteen";"Seventeen";"Eighteen";"Nineteen"}</definedName>
    <definedName name="numbers" localSheetId="611">{"";"One";"Two";"Three";"Four";"Five";"Six";"Seven";"Eight";"Nine";"Ten";"Eleven";"Twelve";"Thirteen";"Fourteen";"Fifteen";"Sixteen";"Seventeen";"Eighteen";"Nineteen"}</definedName>
    <definedName name="numbers" localSheetId="605">{"";"One";"Two";"Three";"Four";"Five";"Six";"Seven";"Eight";"Nine";"Ten";"Eleven";"Twelve";"Thirteen";"Fourteen";"Fifteen";"Sixteen";"Seventeen";"Eighteen";"Nineteen"}</definedName>
    <definedName name="numbers" localSheetId="601">{"";"One";"Two";"Three";"Four";"Five";"Six";"Seven";"Eight";"Nine";"Ten";"Eleven";"Twelve";"Thirteen";"Fourteen";"Fifteen";"Sixteen";"Seventeen";"Eighteen";"Nineteen"}</definedName>
    <definedName name="numbers" localSheetId="626">{"";"One";"Two";"Three";"Four";"Five";"Six";"Seven";"Eight";"Nine";"Ten";"Eleven";"Twelve";"Thirteen";"Fourteen";"Fifteen";"Sixteen";"Seventeen";"Eighteen";"Nineteen"}</definedName>
    <definedName name="numbers" localSheetId="627">{"";"One";"Two";"Three";"Four";"Five";"Six";"Seven";"Eight";"Nine";"Ten";"Eleven";"Twelve";"Thirteen";"Fourteen";"Fifteen";"Sixteen";"Seventeen";"Eighteen";"Nineteen"}</definedName>
    <definedName name="_xlnm.Print_Area" localSheetId="21">' Shangrila2'!$A$1:$H$55</definedName>
    <definedName name="_xlnm.Print_Area" localSheetId="296">'1PDC'!$A$1:$H$55</definedName>
    <definedName name="_xlnm.Print_Area" localSheetId="14">Empty!$A$1:$H$55</definedName>
    <definedName name="_xlnm.Print_Area" localSheetId="596">'Ink Publishing'!$A$1:$H$56</definedName>
    <definedName name="_xlnm.Print_Area" localSheetId="262">MCTA!$A$1:$H$53</definedName>
    <definedName name="_xlnm.Print_Area" localSheetId="105">'Nabil Akram'!$A$1:$F$57</definedName>
    <definedName name="_xlnm.Print_Area" localSheetId="61">Natthineethiti!$A$1:$H$55</definedName>
    <definedName name="_xlnm.Print_Area" localSheetId="63">NCC!$A$1:$H$53</definedName>
    <definedName name="_xlnm.Print_Area" localSheetId="67">'New Base'!$A$1:$H$54</definedName>
    <definedName name="_xlnm.Print_Area" localSheetId="104">NewFair!$A$1:$H$55</definedName>
    <definedName name="_xlnm.Print_Area" localSheetId="64">'Next Trend'!$A$1:$F$58</definedName>
    <definedName name="_xlnm.Print_Area" localSheetId="120">'Ng Chun How'!$A$1:$H$55</definedName>
    <definedName name="_xlnm.Print_Area" localSheetId="106">'Ng See Lok'!$A$1:$F$54</definedName>
    <definedName name="_xlnm.Print_Area" localSheetId="111">Norizeight!$A$1:$H$55</definedName>
    <definedName name="_xlnm.Print_Area" localSheetId="62">NTour!$A$1:$H$54</definedName>
    <definedName name="_xlnm.Print_Area" localSheetId="113">Nursuliana!$A$1:$F$49</definedName>
    <definedName name="_xlnm.Print_Area" localSheetId="139">'Olive Tree'!$A$1:$F$54</definedName>
    <definedName name="_xlnm.Print_Area" localSheetId="150">Omega!$A$1:$H$52</definedName>
    <definedName name="_xlnm.Print_Area" localSheetId="78">'One FM'!$A$1:$F$55</definedName>
    <definedName name="_xlnm.Print_Area" localSheetId="134">'Ong Jin Teong'!$A$1:$H$54</definedName>
    <definedName name="_xlnm.Print_Area" localSheetId="136">'Ong Reno'!$A$1:$F$55</definedName>
    <definedName name="_xlnm.Print_Area" localSheetId="144">'Ong Teik Hin'!$A$1:$H$56</definedName>
    <definedName name="_xlnm.Print_Area" localSheetId="146">'Ooi &amp; Associates'!$A$1:$H$53</definedName>
    <definedName name="_xlnm.Print_Area" localSheetId="148">'Ooi Chok Yan'!$A$1:$H$54</definedName>
    <definedName name="_xlnm.Print_Area" localSheetId="149">'Ooi Choon Eng'!$A$1:$F$52</definedName>
    <definedName name="_xlnm.Print_Area" localSheetId="141">'Optimal Media'!$A$1:$H$52</definedName>
    <definedName name="_xlnm.Print_Area" localSheetId="143">'Osaka St Regis'!$A$1:$H$54</definedName>
    <definedName name="_xlnm.Print_Area" localSheetId="133">Overseas!$A$1:$F$49</definedName>
    <definedName name="_xlnm.Print_Area" localSheetId="232">'P&amp;G'!$A$1:$F$53</definedName>
    <definedName name="_xlnm.Print_Area" localSheetId="249">'P.T NSW Global'!$A$1:$H$54</definedName>
    <definedName name="_xlnm.Print_Area" localSheetId="165">'Pacific World'!$A$1:$H$56</definedName>
    <definedName name="_xlnm.Print_Area" localSheetId="217">'Pak Khai Lin'!$A$1:$F$52</definedName>
    <definedName name="_xlnm.Print_Area" localSheetId="260">Palita!$A$1:$H$53</definedName>
    <definedName name="_xlnm.Print_Area" localSheetId="234">'Park Tree'!$A$1:$F$53</definedName>
    <definedName name="_xlnm.Print_Area" localSheetId="218">Parkroyal!$A$1:$H$54</definedName>
    <definedName name="_xlnm.Print_Area" localSheetId="273">'Part of You'!$A$1:$H$53</definedName>
    <definedName name="_xlnm.Print_Area" localSheetId="286">Peanut!$A$1:$H$55</definedName>
    <definedName name="_xlnm.Print_Area" localSheetId="179">'Pelindung Dahan Sdn Bhd'!$A$1:$F$50</definedName>
    <definedName name="_xlnm.Print_Area" localSheetId="266">'Pen Ads'!$A$1:$F$55</definedName>
    <definedName name="_xlnm.Print_Area" localSheetId="252">'Penang Batik2'!$A$1:$H$52</definedName>
    <definedName name="_xlnm.Print_Area" localSheetId="187">'Penang Ladies'!$A$1:$F$54</definedName>
    <definedName name="_xlnm.Print_Area" localSheetId="235">Penangnites!$A$1:$F$53</definedName>
    <definedName name="_xlnm.Print_Area" localSheetId="241">Performance!$A$1:$H$55</definedName>
    <definedName name="_xlnm.Print_Area" localSheetId="254">Perk!$A$1:$H$55</definedName>
    <definedName name="_xlnm.Print_Area" localSheetId="170">'Perk 1'!$A$1:$F$56</definedName>
    <definedName name="_xlnm.Print_Area" localSheetId="289">'PGC Strategies'!$A$1:$F$54</definedName>
    <definedName name="_xlnm.Print_Area" localSheetId="208">PGCC!$A$1:$H$56</definedName>
    <definedName name="_xlnm.Print_Area" localSheetId="259">'Philippines AA'!$A$1:$H$53</definedName>
    <definedName name="_xlnm.Print_Area" localSheetId="293">'PIBG Chong Cheng'!$A$1:$F$49</definedName>
    <definedName name="_xlnm.Print_Area" localSheetId="270">'PIBG SK Residensi'!$A$1:$H$53</definedName>
    <definedName name="_xlnm.Print_Area" localSheetId="174">PICEB!$A$1:$H$55</definedName>
    <definedName name="_xlnm.Print_Area" localSheetId="229">PIHH!$A$1:$H$53</definedName>
    <definedName name="_xlnm.Print_Area" localSheetId="250">'Pinang Peranakan'!$A$1:$F$54</definedName>
    <definedName name="_xlnm.Print_Area" localSheetId="257">'Pinnacle Nexus'!$A$1:$H$57</definedName>
    <definedName name="_xlnm.Print_Area" localSheetId="278">Pixio!$A$1:$H$56</definedName>
    <definedName name="_xlnm.Print_Area" localSheetId="285">'Platinum Paradise'!$A$1:$H$55</definedName>
    <definedName name="_xlnm.Print_Area" localSheetId="277">Playdestinations!$A$1:$H$54</definedName>
    <definedName name="_xlnm.Print_Area" localSheetId="276">'Point Cast'!$A$1:$H$54</definedName>
    <definedName name="_xlnm.Print_Area" localSheetId="287">PPH!$A$1:$H$54</definedName>
    <definedName name="_xlnm.Print_Area" localSheetId="169">'Premium Minds'!$A$1:$H$55</definedName>
    <definedName name="_xlnm.Print_Area" localSheetId="182">'President(parkroyal)'!$A$1:$F$49</definedName>
    <definedName name="_xlnm.Print_Area" localSheetId="281">'Project Root2'!$A$1:$H$54</definedName>
    <definedName name="_xlnm.Print_Area" localSheetId="219">Protents!$A$1:$F$49</definedName>
    <definedName name="_xlnm.Print_Area" localSheetId="238">PSDC!$A$1:$F$53</definedName>
    <definedName name="_xlnm.Print_Area" localSheetId="207">PST!$A$1:$H$55</definedName>
    <definedName name="_xlnm.Print_Area" localSheetId="272">'PT Citilink'!$A$1:$H$53</definedName>
    <definedName name="_xlnm.Print_Area" localSheetId="290">'PT Indonesia'!$A$1:$H$53</definedName>
    <definedName name="_xlnm.Print_Area" localSheetId="282">'PT Multikreasi'!$A$1:$H$56</definedName>
    <definedName name="_xlnm.Print_Area" localSheetId="279">'PT Radio '!$A$1:$H$54</definedName>
    <definedName name="_xlnm.Print_Area" localSheetId="268">'Pt Toni'!$A$1:$H$54</definedName>
    <definedName name="_xlnm.Print_Area" localSheetId="221">PTS!$A$1:$H$56</definedName>
    <definedName name="_xlnm.Print_Area" localSheetId="222">'PTS (2)'!$A$1:$H$56</definedName>
    <definedName name="_xlnm.Print_Area" localSheetId="228">Pubicitas!$A$1:$F$53</definedName>
    <definedName name="_xlnm.Print_Area" localSheetId="342">Qatar!$A$1:$F$54</definedName>
    <definedName name="_xlnm.Print_Area" localSheetId="343">'Qatar Airways'!$A$1:$H$54</definedName>
    <definedName name="_xlnm.Print_Area" localSheetId="344">'Qatar Airways (2)'!$A$1:$H$54</definedName>
    <definedName name="_xlnm.Print_Area" localSheetId="345">'Qatar Airways (3)'!$A$1:$H$54</definedName>
    <definedName name="_xlnm.Print_Area" localSheetId="346">'Qatar Airways (4)'!$A$1:$H$55</definedName>
    <definedName name="_xlnm.Print_Area" localSheetId="347">'Qatar Airways (5)'!$A$1:$H$55</definedName>
    <definedName name="_xlnm.Print_Area" localSheetId="382">Radius!$A$1:$H$52</definedName>
    <definedName name="_xlnm.Print_Area" localSheetId="354">'Rainbow Leisure'!$A$1:$H$55</definedName>
    <definedName name="_xlnm.Print_Area" localSheetId="351">'Rapid Ferry'!$A$1:$H$54</definedName>
    <definedName name="_xlnm.Print_Area" localSheetId="353">'Ravi Sharma'!$A$1:$H$52</definedName>
    <definedName name="_xlnm.Print_Area" localSheetId="367">RedBerry!$A$1:$H$55</definedName>
    <definedName name="_xlnm.Print_Area" localSheetId="368">'RedBerry Outdoors'!$A$1:$H$55</definedName>
    <definedName name="_xlnm.Print_Area" localSheetId="359">'Regent Media'!$A$1:$H$58</definedName>
    <definedName name="_xlnm.Print_Area" localSheetId="356">'Rela Timur'!$A$1:$F$55</definedName>
    <definedName name="_xlnm.Print_Area" localSheetId="360">'Rela Timur Laut'!$A$1:$H$53</definedName>
    <definedName name="_xlnm.Print_Area" localSheetId="355">RiseGroupe!$A$1:$H$55</definedName>
    <definedName name="_xlnm.Print_Area" localSheetId="380">'Rising One'!$A$1:$H$55</definedName>
    <definedName name="_xlnm.Print_Area" localSheetId="357">Riverbug!$A$1:$F$57</definedName>
    <definedName name="_xlnm.Print_Area" localSheetId="372">'ROD Creative'!$A$1:$H$57</definedName>
    <definedName name="_xlnm.Print_Area" localSheetId="384">Roselyn!$A$1:$F$51</definedName>
    <definedName name="_xlnm.Print_Area" localSheetId="383">Roslin!$A$1:$F$49</definedName>
    <definedName name="_xlnm.Print_Area" localSheetId="413">Sarass!$A$1:$F$49</definedName>
    <definedName name="_xlnm.Print_Area" localSheetId="4">'Sarl Cleverois'!$A$1:$H$54</definedName>
    <definedName name="_xlnm.Print_Area" localSheetId="555">'Sarl Cleverois (2)'!$A$1:$H$54</definedName>
    <definedName name="_xlnm.Print_Area" localSheetId="424">'SBS Transit'!$A$1:$F$53</definedName>
    <definedName name="_xlnm.Print_Area" localSheetId="46">Segi!$A$1:$F$53</definedName>
    <definedName name="_xlnm.Print_Area" localSheetId="6">'Seow Ai See (Petty Cash)'!$A$1:$H$53</definedName>
    <definedName name="_xlnm.Print_Area" localSheetId="32">'Seven Terraces'!$A$1:$H$54</definedName>
    <definedName name="_xlnm.Print_Area" localSheetId="53">Sevena!$A$1:$H$55</definedName>
    <definedName name="_xlnm.Print_Area" localSheetId="20">Shanghai!$A$1:$H$53</definedName>
    <definedName name="_xlnm.Print_Area" localSheetId="13">'Shanghai Ctrip'!$A$1:$H$55</definedName>
    <definedName name="_xlnm.Print_Area" localSheetId="38">'Shanghai Spring'!$A$1:$H$53</definedName>
    <definedName name="_xlnm.Print_Area" localSheetId="423">Shangrila!$A$1:$F$53</definedName>
    <definedName name="_xlnm.Print_Area" localSheetId="36">'Sharon Saw'!$A$1:$H$52</definedName>
    <definedName name="_xlnm.Print_Area" localSheetId="29">Shimai!$A$1:$H$55</definedName>
    <definedName name="_xlnm.Print_Area" localSheetId="12">'Shinaji Sdn Bhd'!$A$1:$H$52</definedName>
    <definedName name="_xlnm.Print_Area" localSheetId="9">Shopback!$A$1:$H$54</definedName>
    <definedName name="_xlnm.Print_Area" localSheetId="43">'SilkAir Limited'!$A$1:$H$54</definedName>
    <definedName name="_xlnm.Print_Area" localSheetId="22">'Silver Ant'!$A$1:$H$55</definedName>
    <definedName name="_xlnm.Print_Area" localSheetId="16">'Silver Ant (SG)'!$A$1:$H$55</definedName>
    <definedName name="_xlnm.Print_Area" localSheetId="40">'Singapore Airlines'!$A$1:$H$54</definedName>
    <definedName name="_xlnm.Print_Area" localSheetId="41">'Singapore Airlines (2)'!$A$1:$H$54</definedName>
    <definedName name="_xlnm.Print_Area" localSheetId="42">'Singapore Airlines (3)'!$A$1:$H$54</definedName>
    <definedName name="_xlnm.Print_Area" localSheetId="7">Siridhar!$A$1:$H$52</definedName>
    <definedName name="_xlnm.Print_Area" localSheetId="27">Sitehost!$A$1:$H$63</definedName>
    <definedName name="_xlnm.Print_Area" localSheetId="19">'SK Vacation'!$A$1:$H$55</definedName>
    <definedName name="_xlnm.Print_Area" localSheetId="403">'SKAL Pg'!$A$1:$F$52</definedName>
    <definedName name="_xlnm.Print_Area" localSheetId="15">'SMKP George Town'!$A$1:$H$55</definedName>
    <definedName name="_xlnm.Print_Area" localSheetId="8">'Sojern Limited'!$A$1:$H$55</definedName>
    <definedName name="_xlnm.Print_Area" localSheetId="51">'Solid Equipment'!$A$1:$F$54</definedName>
    <definedName name="_xlnm.Print_Area" localSheetId="425">Soroptimist!$A$1:$F$53</definedName>
    <definedName name="_xlnm.Print_Area" localSheetId="75">SOZO!$A$1:$H$54</definedName>
    <definedName name="_xlnm.Print_Area" localSheetId="30">Spafax!$A$1:$H$53</definedName>
    <definedName name="_xlnm.Print_Area" localSheetId="416">Star!$A$1:$G$52</definedName>
    <definedName name="_xlnm.Print_Area" localSheetId="433">Sterling!$A$1:$H$54</definedName>
    <definedName name="_xlnm.Print_Area" localSheetId="419">'Studio Howard'!$A$1:$H$53</definedName>
    <definedName name="_xlnm.Print_Area" localSheetId="28">'Sun Moon Tour'!$A$1:$H$54</definedName>
    <definedName name="_xlnm.Print_Area" localSheetId="3">'Sunway Biz'!$A$1:$H$53</definedName>
    <definedName name="_xlnm.Print_Area" localSheetId="404">Suriana!$A$1:$F$53</definedName>
    <definedName name="_xlnm.Print_Area" localSheetId="84">Takaful!$A$1:$H$66</definedName>
    <definedName name="_xlnm.Print_Area" localSheetId="499">'Tampo Miki'!$A$1:$F$54</definedName>
    <definedName name="_xlnm.Print_Area" localSheetId="507">'Tan Chong'!$A$1:$H$57</definedName>
    <definedName name="_xlnm.Print_Area" localSheetId="518">'Tan Chong Ekpress Auto '!$A$1:$H$53</definedName>
    <definedName name="_xlnm.Print_Area" localSheetId="501">'Tan Liu Chin'!$A$1:$F$54</definedName>
    <definedName name="_xlnm.Print_Area" localSheetId="85">'Tan Seang Aun'!$A$1:$H$56</definedName>
    <definedName name="_xlnm.Print_Area" localSheetId="505">'Tan Shurong'!$A$1:$F$54</definedName>
    <definedName name="_xlnm.Print_Area" localSheetId="527">'Tan Wei Wei'!$A$1:$H$52</definedName>
    <definedName name="_xlnm.Print_Area" localSheetId="512">'Tan Young Hean'!$A$1:$H$52</definedName>
    <definedName name="_xlnm.Print_Area" localSheetId="523">'Tar Pictures'!$A$1:$H$55</definedName>
    <definedName name="_xlnm.Print_Area" localSheetId="506">'Tax Advisory'!$A$1:$F$54</definedName>
    <definedName name="_xlnm.Print_Area" localSheetId="528">TCCL!$A$1:$H$57</definedName>
    <definedName name="_xlnm.Print_Area" localSheetId="491">Teddville!$A$1:$F$54</definedName>
    <definedName name="_xlnm.Print_Area" localSheetId="521">'Tek Travel'!$A$1:$H$54</definedName>
    <definedName name="_xlnm.Print_Area" localSheetId="96">'Telekom (2)'!$A$1:$H$54</definedName>
    <definedName name="_xlnm.Print_Area" localSheetId="495">'Teoh Lay Pheng'!$A$1:$H$51</definedName>
    <definedName name="_xlnm.Print_Area" localSheetId="476">Texline!$A$1:$H$54</definedName>
    <definedName name="_xlnm.Print_Area" localSheetId="83">'TG Solutions'!$A$1:$H$54</definedName>
    <definedName name="_xlnm.Print_Area" localSheetId="89">'Thai INt Fair'!$A$1:$H$54</definedName>
    <definedName name="_xlnm.Print_Area" localSheetId="484">'Tham Chia Chieh'!$A$1:$F$53</definedName>
    <definedName name="_xlnm.Print_Area" localSheetId="516">'The Eksentrika'!$A$1:$H$54</definedName>
    <definedName name="_xlnm.Print_Area" localSheetId="497">'The Legend'!$A$1:$F$55</definedName>
    <definedName name="_xlnm.Print_Area" localSheetId="582">'The Life Saving'!$A$1:$F$54</definedName>
    <definedName name="_xlnm.Print_Area" localSheetId="94">'The Mira HK'!$A$1:$F$53</definedName>
    <definedName name="_xlnm.Print_Area" localSheetId="86">'The Spring'!$A$1:$H$53</definedName>
    <definedName name="_xlnm.Print_Area" localSheetId="477">'Thoy Siew Ping'!$A$1:$H$56</definedName>
    <definedName name="_xlnm.Print_Area" localSheetId="452">TKS!$A$1:$F$53</definedName>
    <definedName name="_xlnm.Print_Area" localSheetId="488">'TKS HK'!$A$1:$G$53</definedName>
    <definedName name="_xlnm.Print_Area" localSheetId="478">'TLM Event'!$A$1:$H$54</definedName>
    <definedName name="_xlnm.Print_Area" localSheetId="531">'TNB (2)'!$A$1:$H$52</definedName>
    <definedName name="_xlnm.Print_Area" localSheetId="533">'TNB (4)'!$A$1:$H$52</definedName>
    <definedName name="_xlnm.Print_Area" localSheetId="548">TNT!$A$1:$H$51</definedName>
    <definedName name="_xlnm.Print_Area" localSheetId="474">'Toi Toi'!$A$1:$H$53</definedName>
    <definedName name="_xlnm.Print_Area" localSheetId="93">'Toong Li'!$A$1:$H$55</definedName>
    <definedName name="_xlnm.Print_Area" localSheetId="515">'Tour East'!$A$1:$H$54</definedName>
    <definedName name="_xlnm.Print_Area" localSheetId="493">Trailfinders!$A$1:$H$66</definedName>
    <definedName name="_xlnm.Print_Area" localSheetId="502">Transperfect!$A$1:$H$54</definedName>
    <definedName name="_xlnm.Print_Area" localSheetId="92">'Travel Expert'!$A$1:$G$53</definedName>
    <definedName name="_xlnm.Print_Area" localSheetId="551">TravelBIZ!$A$1:$F$53</definedName>
    <definedName name="_xlnm.Print_Area" localSheetId="500">Travelogy!$A$1:$H$54</definedName>
    <definedName name="_xlnm.Print_Area" localSheetId="5">'Travelogy (2)'!$A$1:$H$54</definedName>
    <definedName name="_xlnm.Print_Area" localSheetId="524">Travelsmart!$A$1:$H$53</definedName>
    <definedName name="_xlnm.Print_Area" localSheetId="11">Trip.com!$A$1:$H$54</definedName>
    <definedName name="_xlnm.Print_Area" localSheetId="514">Trustwin!$A$1:$H$56</definedName>
    <definedName name="_xlnm.Print_Area" localSheetId="492">Tsuyoi!$A$1:$H$57</definedName>
    <definedName name="_xlnm.Print_Area" localSheetId="482">'Two Print'!$A$1:$H$55</definedName>
    <definedName name="_xlnm.Print_Area" localSheetId="560">'Unity Media'!$A$1:$H$63</definedName>
    <definedName name="_xlnm.Print_Area" localSheetId="561">Usains!$A$1:$H$54</definedName>
    <definedName name="_xlnm.Print_Area" localSheetId="569">Vcreate!$A$1:$H$54</definedName>
    <definedName name="_xlnm.Print_Area" localSheetId="576">'Wak Long'!$A$1:$H$53</definedName>
    <definedName name="_xlnm.Print_Area" localSheetId="577">'Wan heng'!$A$1:$H$52</definedName>
    <definedName name="_xlnm.Print_Area" localSheetId="578">Wayee!$A$1:$H$54</definedName>
    <definedName name="_xlnm.Print_Area" localSheetId="597">'Xiamen C&amp;D'!$A$1:$H$56</definedName>
    <definedName name="_xlnm.Print_Area" localSheetId="599">'Xiamen Penavico'!$A$1:$H$56</definedName>
    <definedName name="_xlnm.Print_Area" localSheetId="598">'Xiamen Weichuang'!$A$1:$H$56</definedName>
    <definedName name="_xlnm.Print_Area" localSheetId="604">'Yau Sau Moi'!$A$1:$F$54</definedName>
    <definedName name="_xlnm.Print_Area" localSheetId="614">'Yeap Kam moey'!$A$1:$H$56</definedName>
    <definedName name="_xlnm.Print_Area" localSheetId="603">'Yee Oi Leng'!$A$1:$F$58</definedName>
    <definedName name="_xlnm.Print_Area" localSheetId="240">'Yee Zen Ming Ent'!$A$1:$F$54</definedName>
    <definedName name="_xlnm.Print_Area" localSheetId="602">'Yong Suh Yen'!$A$1:$H$54</definedName>
    <definedName name="_xlnm.Print_Area" localSheetId="617">Yoon!$A$1:$H$54</definedName>
    <definedName name="_xlnm.Print_Area" localSheetId="601">'YZD Planning'!$A$1:$H$54</definedName>
    <definedName name="_xlnm.Print_Titles" localSheetId="382">Radius!$1:$16</definedName>
    <definedName name="teb" localSheetId="14">{"";"";"Twenty";"Thirty";"Forty";"Fifty";"Sixty";"Seventy";"Eighty";"Ninety"}</definedName>
    <definedName name="teb" localSheetId="596">{"";"";"Twenty";"Thirty";"Forty";"Fifty";"Sixty";"Seventy";"Eighty";"Ninety"}</definedName>
    <definedName name="teb" localSheetId="264">{"";"";"Twenty";"Thirty";"Forty";"Fifty";"Sixty";"Seventy";"Eighty";"Ninety"}</definedName>
    <definedName name="teb" localSheetId="105">{"";"";"Twenty";"Thirty";"Forty";"Fifty";"Sixty";"Seventy";"Eighty";"Ninety"}</definedName>
    <definedName name="teb" localSheetId="70">{"";"";"Twenty";"Thirty";"Forty";"Fifty";"Sixty";"Seventy";"Eighty";"Ninety"}</definedName>
    <definedName name="teb" localSheetId="61">{"";"";"Twenty";"Thirty";"Forty";"Fifty";"Sixty";"Seventy";"Eighty";"Ninety"}</definedName>
    <definedName name="teb" localSheetId="63">{"";"";"Twenty";"Thirty";"Forty";"Fifty";"Sixty";"Seventy";"Eighty";"Ninety"}</definedName>
    <definedName name="teb" localSheetId="69">{"";"";"Twenty";"Thirty";"Forty";"Fifty";"Sixty";"Seventy";"Eighty";"Ninety"}</definedName>
    <definedName name="teb" localSheetId="64">{"";"";"Twenty";"Thirty";"Forty";"Fifty";"Sixty";"Seventy";"Eighty";"Ninety"}</definedName>
    <definedName name="teb" localSheetId="68">{"";"";"Twenty";"Thirty";"Forty";"Fifty";"Sixty";"Seventy";"Eighty";"Ninety"}</definedName>
    <definedName name="teb" localSheetId="65">{"";"";"Twenty";"Thirty";"Forty";"Fifty";"Sixty";"Seventy";"Eighty";"Ninety"}</definedName>
    <definedName name="teb" localSheetId="135">{"";"";"Twenty";"Thirty";"Forty";"Fifty";"Sixty";"Seventy";"Eighty";"Ninety"}</definedName>
    <definedName name="teb" localSheetId="137">{"";"";"Twenty";"Thirty";"Forty";"Fifty";"Sixty";"Seventy";"Eighty";"Ninety"}</definedName>
    <definedName name="teb" localSheetId="78">{"";"";"Twenty";"Thirty";"Forty";"Fifty";"Sixty";"Seventy";"Eighty";"Ninety"}</definedName>
    <definedName name="teb" localSheetId="138">{"";"";"Twenty";"Thirty";"Forty";"Fifty";"Sixty";"Seventy";"Eighty";"Ninety"}</definedName>
    <definedName name="teb" localSheetId="136">{"";"";"Twenty";"Thirty";"Forty";"Fifty";"Sixty";"Seventy";"Eighty";"Ninety"}</definedName>
    <definedName name="teb" localSheetId="144">{"";"";"Twenty";"Thirty";"Forty";"Fifty";"Sixty";"Seventy";"Eighty";"Ninety"}</definedName>
    <definedName name="teb" localSheetId="148">{"";"";"Twenty";"Thirty";"Forty";"Fifty";"Sixty";"Seventy";"Eighty";"Ninety"}</definedName>
    <definedName name="teb" localSheetId="147">{"";"";"Twenty";"Thirty";"Forty";"Fifty";"Sixty";"Seventy";"Eighty";"Ninety"}</definedName>
    <definedName name="teb" localSheetId="258">{"";"";"Twenty";"Thirty";"Forty";"Fifty";"Sixty";"Seventy";"Eighty";"Ninety"}</definedName>
    <definedName name="teb" localSheetId="141">{"";"";"Twenty";"Thirty";"Forty";"Fifty";"Sixty";"Seventy";"Eighty";"Ninety"}</definedName>
    <definedName name="teb" localSheetId="168">{"";"";"Twenty";"Thirty";"Forty";"Fifty";"Sixty";"Seventy";"Eighty";"Ninety"}</definedName>
    <definedName name="teb" localSheetId="249">{"";"";"Twenty";"Thirty";"Forty";"Fifty";"Sixty";"Seventy";"Eighty";"Ninety"}</definedName>
    <definedName name="teb" localSheetId="260">{"";"";"Twenty";"Thirty";"Forty";"Fifty";"Sixty";"Seventy";"Eighty";"Ninety"}</definedName>
    <definedName name="teb" localSheetId="166">{"";"";"Twenty";"Thirty";"Forty";"Fifty";"Sixty";"Seventy";"Eighty";"Ninety"}</definedName>
    <definedName name="teb" localSheetId="234">{"";"";"Twenty";"Thirty";"Forty";"Fifty";"Sixty";"Seventy";"Eighty";"Ninety"}</definedName>
    <definedName name="teb" localSheetId="273">{"";"";"Twenty";"Thirty";"Forty";"Fifty";"Sixty";"Seventy";"Eighty";"Ninety"}</definedName>
    <definedName name="teb" localSheetId="286">{"";"";"Twenty";"Thirty";"Forty";"Fifty";"Sixty";"Seventy";"Eighty";"Ninety"}</definedName>
    <definedName name="teb" localSheetId="266">{"";"";"Twenty";"Thirty";"Forty";"Fifty";"Sixty";"Seventy";"Eighty";"Ninety"}</definedName>
    <definedName name="teb" localSheetId="248">{"";"";"Twenty";"Thirty";"Forty";"Fifty";"Sixty";"Seventy";"Eighty";"Ninety"}</definedName>
    <definedName name="teb" localSheetId="252">{"";"";"Twenty";"Thirty";"Forty";"Fifty";"Sixty";"Seventy";"Eighty";"Ninety"}</definedName>
    <definedName name="teb" localSheetId="244">{"";"";"Twenty";"Thirty";"Forty";"Fifty";"Sixty";"Seventy";"Eighty";"Ninety"}</definedName>
    <definedName name="teb" localSheetId="235">{"";"";"Twenty";"Thirty";"Forty";"Fifty";"Sixty";"Seventy";"Eighty";"Ninety"}</definedName>
    <definedName name="teb" localSheetId="254">{"";"";"Twenty";"Thirty";"Forty";"Fifty";"Sixty";"Seventy";"Eighty";"Ninety"}</definedName>
    <definedName name="teb" localSheetId="170">{"";"";"Twenty";"Thirty";"Forty";"Fifty";"Sixty";"Seventy";"Eighty";"Ninety"}</definedName>
    <definedName name="teb" localSheetId="173">{"";"";"Twenty";"Thirty";"Forty";"Fifty";"Sixty";"Seventy";"Eighty";"Ninety"}</definedName>
    <definedName name="teb" localSheetId="289">{"";"";"Twenty";"Thirty";"Forty";"Fifty";"Sixty";"Seventy";"Eighty";"Ninety"}</definedName>
    <definedName name="teb" localSheetId="259">{"";"";"Twenty";"Thirty";"Forty";"Fifty";"Sixty";"Seventy";"Eighty";"Ninety"}</definedName>
    <definedName name="teb" localSheetId="267">{"";"";"Twenty";"Thirty";"Forty";"Fifty";"Sixty";"Seventy";"Eighty";"Ninety"}</definedName>
    <definedName name="teb" localSheetId="269">{"";"";"Twenty";"Thirty";"Forty";"Fifty";"Sixty";"Seventy";"Eighty";"Ninety"}</definedName>
    <definedName name="teb" localSheetId="270">{"";"";"Twenty";"Thirty";"Forty";"Fifty";"Sixty";"Seventy";"Eighty";"Ninety"}</definedName>
    <definedName name="teb" localSheetId="271">{"";"";"Twenty";"Thirty";"Forty";"Fifty";"Sixty";"Seventy";"Eighty";"Ninety"}</definedName>
    <definedName name="teb" localSheetId="250">{"";"";"Twenty";"Thirty";"Forty";"Fifty";"Sixty";"Seventy";"Eighty";"Ninety"}</definedName>
    <definedName name="teb" localSheetId="257">{"";"";"Twenty";"Thirty";"Forty";"Fifty";"Sixty";"Seventy";"Eighty";"Ninety"}</definedName>
    <definedName name="teb" localSheetId="171">{"";"";"Twenty";"Thirty";"Forty";"Fifty";"Sixty";"Seventy";"Eighty";"Ninety"}</definedName>
    <definedName name="teb" localSheetId="278">{"";"";"Twenty";"Thirty";"Forty";"Fifty";"Sixty";"Seventy";"Eighty";"Ninety"}</definedName>
    <definedName name="teb" localSheetId="277">{"";"";"Twenty";"Thirty";"Forty";"Fifty";"Sixty";"Seventy";"Eighty";"Ninety"}</definedName>
    <definedName name="teb" localSheetId="291">{"";"";"Twenty";"Thirty";"Forty";"Fifty";"Sixty";"Seventy";"Eighty";"Ninety"}</definedName>
    <definedName name="teb" localSheetId="287">{"";"";"Twenty";"Thirty";"Forty";"Fifty";"Sixty";"Seventy";"Eighty";"Ninety"}</definedName>
    <definedName name="teb" localSheetId="280">{"";"";"Twenty";"Thirty";"Forty";"Fifty";"Sixty";"Seventy";"Eighty";"Ninety"}</definedName>
    <definedName name="teb" localSheetId="251">{"";"";"Twenty";"Thirty";"Forty";"Fifty";"Sixty";"Seventy";"Eighty";"Ninety"}</definedName>
    <definedName name="teb" localSheetId="274">{"";"";"Twenty";"Thirty";"Forty";"Fifty";"Sixty";"Seventy";"Eighty";"Ninety"}</definedName>
    <definedName name="teb" localSheetId="281">{"";"";"Twenty";"Thirty";"Forty";"Fifty";"Sixty";"Seventy";"Eighty";"Ninety"}</definedName>
    <definedName name="teb" localSheetId="238">{"";"";"Twenty";"Thirty";"Forty";"Fifty";"Sixty";"Seventy";"Eighty";"Ninety"}</definedName>
    <definedName name="teb" localSheetId="272">{"";"";"Twenty";"Thirty";"Forty";"Fifty";"Sixty";"Seventy";"Eighty";"Ninety"}</definedName>
    <definedName name="teb" localSheetId="167">{"";"";"Twenty";"Thirty";"Forty";"Fifty";"Sixty";"Seventy";"Eighty";"Ninety"}</definedName>
    <definedName name="teb" localSheetId="290">{"";"";"Twenty";"Thirty";"Forty";"Fifty";"Sixty";"Seventy";"Eighty";"Ninety"}</definedName>
    <definedName name="teb" localSheetId="265">{"";"";"Twenty";"Thirty";"Forty";"Fifty";"Sixty";"Seventy";"Eighty";"Ninety"}</definedName>
    <definedName name="teb" localSheetId="282">{"";"";"Twenty";"Thirty";"Forty";"Fifty";"Sixty";"Seventy";"Eighty";"Ninety"}</definedName>
    <definedName name="teb" localSheetId="279">{"";"";"Twenty";"Thirty";"Forty";"Fifty";"Sixty";"Seventy";"Eighty";"Ninety"}</definedName>
    <definedName name="teb" localSheetId="268">{"";"";"Twenty";"Thirty";"Forty";"Fifty";"Sixty";"Seventy";"Eighty";"Ninety"}</definedName>
    <definedName name="teb" localSheetId="255">{"";"";"Twenty";"Thirty";"Forty";"Fifty";"Sixty";"Seventy";"Eighty";"Ninety"}</definedName>
    <definedName name="teb" localSheetId="342">{"";"";"Twenty";"Thirty";"Forty";"Fifty";"Sixty";"Seventy";"Eighty";"Ninety"}</definedName>
    <definedName name="teb" localSheetId="343">{"";"";"Twenty";"Thirty";"Forty";"Fifty";"Sixty";"Seventy";"Eighty";"Ninety"}</definedName>
    <definedName name="teb" localSheetId="344">{"";"";"Twenty";"Thirty";"Forty";"Fifty";"Sixty";"Seventy";"Eighty";"Ninety"}</definedName>
    <definedName name="teb" localSheetId="345">{"";"";"Twenty";"Thirty";"Forty";"Fifty";"Sixty";"Seventy";"Eighty";"Ninety"}</definedName>
    <definedName name="teb" localSheetId="346">{"";"";"Twenty";"Thirty";"Forty";"Fifty";"Sixty";"Seventy";"Eighty";"Ninety"}</definedName>
    <definedName name="teb" localSheetId="347">{"";"";"Twenty";"Thirty";"Forty";"Fifty";"Sixty";"Seventy";"Eighty";"Ninety"}</definedName>
    <definedName name="teb" localSheetId="354">{"";"";"Twenty";"Thirty";"Forty";"Fifty";"Sixty";"Seventy";"Eighty";"Ninety"}</definedName>
    <definedName name="teb" localSheetId="353">{"";"";"Twenty";"Thirty";"Forty";"Fifty";"Sixty";"Seventy";"Eighty";"Ninety"}</definedName>
    <definedName name="teb" localSheetId="367">{"";"";"Twenty";"Thirty";"Forty";"Fifty";"Sixty";"Seventy";"Eighty";"Ninety"}</definedName>
    <definedName name="teb" localSheetId="368">{"";"";"Twenty";"Thirty";"Forty";"Fifty";"Sixty";"Seventy";"Eighty";"Ninety"}</definedName>
    <definedName name="teb" localSheetId="369">{"";"";"Twenty";"Thirty";"Forty";"Fifty";"Sixty";"Seventy";"Eighty";"Ninety"}</definedName>
    <definedName name="teb" localSheetId="363">{"";"";"Twenty";"Thirty";"Forty";"Fifty";"Sixty";"Seventy";"Eighty";"Ninety"}</definedName>
    <definedName name="teb" localSheetId="360">{"";"";"Twenty";"Thirty";"Forty";"Fifty";"Sixty";"Seventy";"Eighty";"Ninety"}</definedName>
    <definedName name="teb" localSheetId="371">{"";"";"Twenty";"Thirty";"Forty";"Fifty";"Sixty";"Seventy";"Eighty";"Ninety"}</definedName>
    <definedName name="teb" localSheetId="361">{"";"";"Twenty";"Thirty";"Forty";"Fifty";"Sixty";"Seventy";"Eighty";"Ninety"}</definedName>
    <definedName name="teb" localSheetId="373">{"";"";"Twenty";"Thirty";"Forty";"Fifty";"Sixty";"Seventy";"Eighty";"Ninety"}</definedName>
    <definedName name="teb" localSheetId="370">{"";"";"Twenty";"Thirty";"Forty";"Fifty";"Sixty";"Seventy";"Eighty";"Ninety"}</definedName>
    <definedName name="teb" localSheetId="357">{"";"";"Twenty";"Thirty";"Forty";"Fifty";"Sixty";"Seventy";"Eighty";"Ninety"}</definedName>
    <definedName name="teb" localSheetId="372">{"";"";"Twenty";"Thirty";"Forty";"Fifty";"Sixty";"Seventy";"Eighty";"Ninety"}</definedName>
    <definedName name="teb" localSheetId="60">{"";"";"Twenty";"Thirty";"Forty";"Fifty";"Sixty";"Seventy";"Eighty";"Ninety"}</definedName>
    <definedName name="teb" localSheetId="352">{"";"";"Twenty";"Thirty";"Forty";"Fifty";"Sixty";"Seventy";"Eighty";"Ninety"}</definedName>
    <definedName name="teb" localSheetId="25">{"";"";"Twenty";"Thirty";"Forty";"Fifty";"Sixty";"Seventy";"Eighty";"Ninety"}</definedName>
    <definedName name="teb" localSheetId="46">{"";"";"Twenty";"Thirty";"Forty";"Fifty";"Sixty";"Seventy";"Eighty";"Ninety"}</definedName>
    <definedName name="teb" localSheetId="10">{"";"";"Twenty";"Thirty";"Forty";"Fifty";"Sixty";"Seventy";"Eighty";"Ninety"}</definedName>
    <definedName name="teb" localSheetId="32">{"";"";"Twenty";"Thirty";"Forty";"Fifty";"Sixty";"Seventy";"Eighty";"Ninety"}</definedName>
    <definedName name="teb" localSheetId="53">{"";"";"Twenty";"Thirty";"Forty";"Fifty";"Sixty";"Seventy";"Eighty";"Ninety"}</definedName>
    <definedName name="teb" localSheetId="20">{"";"";"Twenty";"Thirty";"Forty";"Fifty";"Sixty";"Seventy";"Eighty";"Ninety"}</definedName>
    <definedName name="teb" localSheetId="13">{"";"";"Twenty";"Thirty";"Forty";"Fifty";"Sixty";"Seventy";"Eighty";"Ninety"}</definedName>
    <definedName name="teb" localSheetId="38">{"";"";"Twenty";"Thirty";"Forty";"Fifty";"Sixty";"Seventy";"Eighty";"Ninety"}</definedName>
    <definedName name="teb" localSheetId="36">{"";"";"Twenty";"Thirty";"Forty";"Fifty";"Sixty";"Seventy";"Eighty";"Ninety"}</definedName>
    <definedName name="teb" localSheetId="50">{"";"";"Twenty";"Thirty";"Forty";"Fifty";"Sixty";"Seventy";"Eighty";"Ninety"}</definedName>
    <definedName name="teb" localSheetId="12">{"";"";"Twenty";"Thirty";"Forty";"Fifty";"Sixty";"Seventy";"Eighty";"Ninety"}</definedName>
    <definedName name="teb" localSheetId="9">{"";"";"Twenty";"Thirty";"Forty";"Fifty";"Sixty";"Seventy";"Eighty";"Ninety"}</definedName>
    <definedName name="teb" localSheetId="58">{"";"";"Twenty";"Thirty";"Forty";"Fifty";"Sixty";"Seventy";"Eighty";"Ninety"}</definedName>
    <definedName name="teb" localSheetId="16">{"";"";"Twenty";"Thirty";"Forty";"Fifty";"Sixty";"Seventy";"Eighty";"Ninety"}</definedName>
    <definedName name="teb" localSheetId="494">{"";"";"Twenty";"Thirty";"Forty";"Fifty";"Sixty";"Seventy";"Eighty";"Ninety"}</definedName>
    <definedName name="teb" localSheetId="7">{"";"";"Twenty";"Thirty";"Forty";"Fifty";"Sixty";"Seventy";"Eighty";"Ninety"}</definedName>
    <definedName name="teb" localSheetId="27">{"";"";"Twenty";"Thirty";"Forty";"Fifty";"Sixty";"Seventy";"Eighty";"Ninety"}</definedName>
    <definedName name="teb" localSheetId="17">{"";"";"Twenty";"Thirty";"Forty";"Fifty";"Sixty";"Seventy";"Eighty";"Ninety"}</definedName>
    <definedName name="teb" localSheetId="77">{"";"";"Twenty";"Thirty";"Forty";"Fifty";"Sixty";"Seventy";"Eighty";"Ninety"}</definedName>
    <definedName name="teb" localSheetId="39">{"";"";"Twenty";"Thirty";"Forty";"Fifty";"Sixty";"Seventy";"Eighty";"Ninety"}</definedName>
    <definedName name="teb" localSheetId="8">{"";"";"Twenty";"Thirty";"Forty";"Fifty";"Sixty";"Seventy";"Eighty";"Ninety"}</definedName>
    <definedName name="teb" localSheetId="82">{"";"";"Twenty";"Thirty";"Forty";"Fifty";"Sixty";"Seventy";"Eighty";"Ninety"}</definedName>
    <definedName name="teb" localSheetId="49">{"";"";"Twenty";"Thirty";"Forty";"Fifty";"Sixty";"Seventy";"Eighty";"Ninety"}</definedName>
    <definedName name="teb" localSheetId="30">{"";"";"Twenty";"Thirty";"Forty";"Fifty";"Sixty";"Seventy";"Eighty";"Ninety"}</definedName>
    <definedName name="teb" localSheetId="73">{"";"";"Twenty";"Thirty";"Forty";"Fifty";"Sixty";"Seventy";"Eighty";"Ninety"}</definedName>
    <definedName name="teb" localSheetId="24">{"";"";"Twenty";"Thirty";"Forty";"Fifty";"Sixty";"Seventy";"Eighty";"Ninety"}</definedName>
    <definedName name="teb" localSheetId="3">{"";"";"Twenty";"Thirty";"Forty";"Fifty";"Sixty";"Seventy";"Eighty";"Ninety"}</definedName>
    <definedName name="teb" localSheetId="57">{"";"";"Twenty";"Thirty";"Forty";"Fifty";"Sixty";"Seventy";"Eighty";"Ninety"}</definedName>
    <definedName name="teb" localSheetId="37">{"";"";"Twenty";"Thirty";"Forty";"Fifty";"Sixty";"Seventy";"Eighty";"Ninety"}</definedName>
    <definedName name="teb" localSheetId="507">{"";"";"Twenty";"Thirty";"Forty";"Fifty";"Sixty";"Seventy";"Eighty";"Ninety"}</definedName>
    <definedName name="teb" localSheetId="518">{"";"";"Twenty";"Thirty";"Forty";"Fifty";"Sixty";"Seventy";"Eighty";"Ninety"}</definedName>
    <definedName name="teb" localSheetId="85">{"";"";"Twenty";"Thirty";"Forty";"Fifty";"Sixty";"Seventy";"Eighty";"Ninety"}</definedName>
    <definedName name="teb" localSheetId="505">{"";"";"Twenty";"Thirty";"Forty";"Fifty";"Sixty";"Seventy";"Eighty";"Ninety"}</definedName>
    <definedName name="teb" localSheetId="527">{"";"";"Twenty";"Thirty";"Forty";"Fifty";"Sixty";"Seventy";"Eighty";"Ninety"}</definedName>
    <definedName name="teb" localSheetId="486">{"";"";"Twenty";"Thirty";"Forty";"Fifty";"Sixty";"Seventy";"Eighty";"Ninety"}</definedName>
    <definedName name="teb" localSheetId="523">{"";"";"Twenty";"Thirty";"Forty";"Fifty";"Sixty";"Seventy";"Eighty";"Ninety"}</definedName>
    <definedName name="teb" localSheetId="506">{"";"";"Twenty";"Thirty";"Forty";"Fifty";"Sixty";"Seventy";"Eighty";"Ninety"}</definedName>
    <definedName name="teb" localSheetId="528">{"";"";"Twenty";"Thirty";"Forty";"Fifty";"Sixty";"Seventy";"Eighty";"Ninety"}</definedName>
    <definedName name="teb" localSheetId="491">{"";"";"Twenty";"Thirty";"Forty";"Fifty";"Sixty";"Seventy";"Eighty";"Ninety"}</definedName>
    <definedName name="teb" localSheetId="526">{"";"";"Twenty";"Thirty";"Forty";"Fifty";"Sixty";"Seventy";"Eighty";"Ninety"}</definedName>
    <definedName name="teb" localSheetId="521">{"";"";"Twenty";"Thirty";"Forty";"Fifty";"Sixty";"Seventy";"Eighty";"Ninety"}</definedName>
    <definedName name="teb" localSheetId="484">{"";"";"Twenty";"Thirty";"Forty";"Fifty";"Sixty";"Seventy";"Eighty";"Ninety"}</definedName>
    <definedName name="teb" localSheetId="473">{"";"";"Twenty";"Thirty";"Forty";"Fifty";"Sixty";"Seventy";"Eighty";"Ninety"}</definedName>
    <definedName name="teb" localSheetId="582">{"";"";"Twenty";"Thirty";"Forty";"Fifty";"Sixty";"Seventy";"Eighty";"Ninety"}</definedName>
    <definedName name="teb" localSheetId="525">{"";"";"Twenty";"Thirty";"Forty";"Fifty";"Sixty";"Seventy";"Eighty";"Ninety"}</definedName>
    <definedName name="teb" localSheetId="522">{"";"";"Twenty";"Thirty";"Forty";"Fifty";"Sixty";"Seventy";"Eighty";"Ninety"}</definedName>
    <definedName name="teb" localSheetId="510">{"";"";"Twenty";"Thirty";"Forty";"Fifty";"Sixty";"Seventy";"Eighty";"Ninety"}</definedName>
    <definedName name="teb" localSheetId="87">{"";"";"Twenty";"Thirty";"Forty";"Fifty";"Sixty";"Seventy";"Eighty";"Ninety"}</definedName>
    <definedName name="teb" localSheetId="86">{"";"";"Twenty";"Thirty";"Forty";"Fifty";"Sixty";"Seventy";"Eighty";"Ninety"}</definedName>
    <definedName name="teb" localSheetId="90">{"";"";"Twenty";"Thirty";"Forty";"Fifty";"Sixty";"Seventy";"Eighty";"Ninety"}</definedName>
    <definedName name="teb" localSheetId="91">{"";"";"Twenty";"Thirty";"Forty";"Fifty";"Sixty";"Seventy";"Eighty";"Ninety"}</definedName>
    <definedName name="teb" localSheetId="474">{"";"";"Twenty";"Thirty";"Forty";"Fifty";"Sixty";"Seventy";"Eighty";"Ninety"}</definedName>
    <definedName name="teb" localSheetId="508">{"";"";"Twenty";"Thirty";"Forty";"Fifty";"Sixty";"Seventy";"Eighty";"Ninety"}</definedName>
    <definedName name="teb" localSheetId="93">{"";"";"Twenty";"Thirty";"Forty";"Fifty";"Sixty";"Seventy";"Eighty";"Ninety"}</definedName>
    <definedName name="teb" localSheetId="515">{"";"";"Twenty";"Thirty";"Forty";"Fifty";"Sixty";"Seventy";"Eighty";"Ninety"}</definedName>
    <definedName name="teb" localSheetId="502">{"";"";"Twenty";"Thirty";"Forty";"Fifty";"Sixty";"Seventy";"Eighty";"Ninety"}</definedName>
    <definedName name="teb" localSheetId="496">{"";"";"Twenty";"Thirty";"Forty";"Fifty";"Sixty";"Seventy";"Eighty";"Ninety"}</definedName>
    <definedName name="teb" localSheetId="489">{"";"";"Twenty";"Thirty";"Forty";"Fifty";"Sixty";"Seventy";"Eighty";"Ninety"}</definedName>
    <definedName name="teb" localSheetId="88">{"";"";"Twenty";"Thirty";"Forty";"Fifty";"Sixty";"Seventy";"Eighty";"Ninety"}</definedName>
    <definedName name="teb" localSheetId="11">{"";"";"Twenty";"Thirty";"Forty";"Fifty";"Sixty";"Seventy";"Eighty";"Ninety"}</definedName>
    <definedName name="teb" localSheetId="487">{"";"";"Twenty";"Thirty";"Forty";"Fifty";"Sixty";"Seventy";"Eighty";"Ninety"}</definedName>
    <definedName name="teb" localSheetId="514">{"";"";"Twenty";"Thirty";"Forty";"Fifty";"Sixty";"Seventy";"Eighty";"Ninety"}</definedName>
    <definedName name="teb" localSheetId="560">{"";"";"Twenty";"Thirty";"Forty";"Fifty";"Sixty";"Seventy";"Eighty";"Ninety"}</definedName>
    <definedName name="teb" localSheetId="557">{"";"";"Twenty";"Thirty";"Forty";"Fifty";"Sixty";"Seventy";"Eighty";"Ninety"}</definedName>
    <definedName name="teb" localSheetId="559">{"";"";"Twenty";"Thirty";"Forty";"Fifty";"Sixty";"Seventy";"Eighty";"Ninety"}</definedName>
    <definedName name="teb" localSheetId="567">{"";"";"Twenty";"Thirty";"Forty";"Fifty";"Sixty";"Seventy";"Eighty";"Ninety"}</definedName>
    <definedName name="teb" localSheetId="571">{"";"";"Twenty";"Thirty";"Forty";"Fifty";"Sixty";"Seventy";"Eighty";"Ninety"}</definedName>
    <definedName name="teb" localSheetId="577">{"";"";"Twenty";"Thirty";"Forty";"Fifty";"Sixty";"Seventy";"Eighty";"Ninety"}</definedName>
    <definedName name="teb" localSheetId="597">{"";"";"Twenty";"Thirty";"Forty";"Fifty";"Sixty";"Seventy";"Eighty";"Ninety"}</definedName>
    <definedName name="teb" localSheetId="599">{"";"";"Twenty";"Thirty";"Forty";"Fifty";"Sixty";"Seventy";"Eighty";"Ninety"}</definedName>
    <definedName name="teb" localSheetId="598">{"";"";"Twenty";"Thirty";"Forty";"Fifty";"Sixty";"Seventy";"Eighty";"Ninety"}</definedName>
    <definedName name="teb" localSheetId="608">{"";"";"Twenty";"Thirty";"Forty";"Fifty";"Sixty";"Seventy";"Eighty";"Ninety"}</definedName>
    <definedName name="teb" localSheetId="604">{"";"";"Twenty";"Thirty";"Forty";"Fifty";"Sixty";"Seventy";"Eighty";"Ninety"}</definedName>
    <definedName name="teb">{"";"";"Twenty";"Thirty";"Forty";"Fifty";"Sixty";"Seventy";"Eighty";"Ninety"}</definedName>
    <definedName name="tens" localSheetId="21">{"";"";"Twenty";"Thirty";"Forty";"Fifty";"Sixty";"Seventy";"Eighty";"Ninety"}</definedName>
    <definedName name="tens" localSheetId="296">{"";"";"Twenty";"Thirty";"Forty";"Fifty";"Sixty";"Seventy";"Eighty";"Ninety"}</definedName>
    <definedName name="tens" localSheetId="14">{"";"";"Twenty";"Thirty";"Forty";"Fifty";"Sixty";"Seventy";"Eighty";"Ninety"}</definedName>
    <definedName name="tens" localSheetId="596">{"";"";"Twenty";"Thirty";"Forty";"Fifty";"Sixty";"Seventy";"Eighty";"Ninety"}</definedName>
    <definedName name="tens" localSheetId="262">{"";"";"Twenty";"Thirty";"Forty";"Fifty";"Sixty";"Seventy";"Eighty";"Ninety"}</definedName>
    <definedName name="tens" localSheetId="264">{"";"";"Twenty";"Thirty";"Forty";"Fifty";"Sixty";"Seventy";"Eighty";"Ninety"}</definedName>
    <definedName name="tens" localSheetId="263">{"";"";"Twenty";"Thirty";"Forty";"Fifty";"Sixty";"Seventy";"Eighty";"Ninety"}</definedName>
    <definedName name="tens" localSheetId="105">{"";"";"Twenty";"Thirty";"Forty";"Fifty";"Sixty";"Seventy";"Eighty";"Ninety"}</definedName>
    <definedName name="tens" localSheetId="59">{"";"";"Twenty";"Thirty";"Forty";"Fifty";"Sixty";"Seventy";"Eighty";"Ninety"}</definedName>
    <definedName name="tens" localSheetId="70">{"";"";"Twenty";"Thirty";"Forty";"Fifty";"Sixty";"Seventy";"Eighty";"Ninety"}</definedName>
    <definedName name="tens" localSheetId="61">{"";"";"Twenty";"Thirty";"Forty";"Fifty";"Sixty";"Seventy";"Eighty";"Ninety"}</definedName>
    <definedName name="tens" localSheetId="63">{"";"";"Twenty";"Thirty";"Forty";"Fifty";"Sixty";"Seventy";"Eighty";"Ninety"}</definedName>
    <definedName name="tens" localSheetId="69">{"";"";"Twenty";"Thirty";"Forty";"Fifty";"Sixty";"Seventy";"Eighty";"Ninety"}</definedName>
    <definedName name="tens" localSheetId="112">{"";"";"Twenty";"Thirty";"Forty";"Fifty";"Sixty";"Seventy";"Eighty";"Ninety"}</definedName>
    <definedName name="tens" localSheetId="67">{"";"";"Twenty";"Thirty";"Forty";"Fifty";"Sixty";"Seventy";"Eighty";"Ninety"}</definedName>
    <definedName name="tens" localSheetId="107">{"";"";"Twenty";"Thirty";"Forty";"Fifty";"Sixty";"Seventy";"Eighty";"Ninety"}</definedName>
    <definedName name="tens" localSheetId="104">{"";"";"Twenty";"Thirty";"Forty";"Fifty";"Sixty";"Seventy";"Eighty";"Ninety"}</definedName>
    <definedName name="tens" localSheetId="64">{"";"";"Twenty";"Thirty";"Forty";"Fifty";"Sixty";"Seventy";"Eighty";"Ninety"}</definedName>
    <definedName name="tens" localSheetId="120">{"";"";"Twenty";"Thirty";"Forty";"Fifty";"Sixty";"Seventy";"Eighty";"Ninety"}</definedName>
    <definedName name="tens" localSheetId="106">{"";"";"Twenty";"Thirty";"Forty";"Fifty";"Sixty";"Seventy";"Eighty";"Ninety"}</definedName>
    <definedName name="tens" localSheetId="68">{"";"";"Twenty";"Thirty";"Forty";"Fifty";"Sixty";"Seventy";"Eighty";"Ninety"}</definedName>
    <definedName name="tens" localSheetId="65">{"";"";"Twenty";"Thirty";"Forty";"Fifty";"Sixty";"Seventy";"Eighty";"Ninety"}</definedName>
    <definedName name="tens" localSheetId="66">{"";"";"Twenty";"Thirty";"Forty";"Fifty";"Sixty";"Seventy";"Eighty";"Ninety"}</definedName>
    <definedName name="tens" localSheetId="111">{"";"";"Twenty";"Thirty";"Forty";"Fifty";"Sixty";"Seventy";"Eighty";"Ninety"}</definedName>
    <definedName name="tens" localSheetId="62">{"";"";"Twenty";"Thirty";"Forty";"Fifty";"Sixty";"Seventy";"Eighty";"Ninety"}</definedName>
    <definedName name="tens" localSheetId="135">{"";"";"Twenty";"Thirty";"Forty";"Fifty";"Sixty";"Seventy";"Eighty";"Ninety"}</definedName>
    <definedName name="tens" localSheetId="130">{"";"";"Twenty";"Thirty";"Forty";"Fifty";"Sixty";"Seventy";"Eighty";"Ninety"}</definedName>
    <definedName name="tens" localSheetId="156">{"";"";"Twenty";"Thirty";"Forty";"Fifty";"Sixty";"Seventy";"Eighty";"Ninety"}</definedName>
    <definedName name="tens" localSheetId="139">{"";"";"Twenty";"Thirty";"Forty";"Fifty";"Sixty";"Seventy";"Eighty";"Ninety"}</definedName>
    <definedName name="tens" localSheetId="137">{"";"";"Twenty";"Thirty";"Forty";"Fifty";"Sixty";"Seventy";"Eighty";"Ninety"}</definedName>
    <definedName name="tens" localSheetId="150">{"";"";"Twenty";"Thirty";"Forty";"Fifty";"Sixty";"Seventy";"Eighty";"Ninety"}</definedName>
    <definedName name="tens" localSheetId="145">{"";"";"Twenty";"Thirty";"Forty";"Fifty";"Sixty";"Seventy";"Eighty";"Ninety"}</definedName>
    <definedName name="tens" localSheetId="78">{"";"";"Twenty";"Thirty";"Forty";"Fifty";"Sixty";"Seventy";"Eighty";"Ninety"}</definedName>
    <definedName name="tens" localSheetId="138">{"";"";"Twenty";"Thirty";"Forty";"Fifty";"Sixty";"Seventy";"Eighty";"Ninety"}</definedName>
    <definedName name="tens" localSheetId="131">{"";"";"Twenty";"Thirty";"Forty";"Fifty";"Sixty";"Seventy";"Eighty";"Ninety"}</definedName>
    <definedName name="tens" localSheetId="134">{"";"";"Twenty";"Thirty";"Forty";"Fifty";"Sixty";"Seventy";"Eighty";"Ninety"}</definedName>
    <definedName name="tens" localSheetId="136">{"";"";"Twenty";"Thirty";"Forty";"Fifty";"Sixty";"Seventy";"Eighty";"Ninety"}</definedName>
    <definedName name="tens" localSheetId="144">{"";"";"Twenty";"Thirty";"Forty";"Fifty";"Sixty";"Seventy";"Eighty";"Ninety"}</definedName>
    <definedName name="tens" localSheetId="142">{"";"";"Twenty";"Thirty";"Forty";"Fifty";"Sixty";"Seventy";"Eighty";"Ninety"}</definedName>
    <definedName name="tens" localSheetId="538">{"";"";"Twenty";"Thirty";"Forty";"Fifty";"Sixty";"Seventy";"Eighty";"Ninety"}</definedName>
    <definedName name="tens" localSheetId="146">{"";"";"Twenty";"Thirty";"Forty";"Fifty";"Sixty";"Seventy";"Eighty";"Ninety"}</definedName>
    <definedName name="tens" localSheetId="148">{"";"";"Twenty";"Thirty";"Forty";"Fifty";"Sixty";"Seventy";"Eighty";"Ninety"}</definedName>
    <definedName name="tens" localSheetId="161">{"";"";"Twenty";"Thirty";"Forty";"Fifty";"Sixty";"Seventy";"Eighty";"Ninety"}</definedName>
    <definedName name="tens" localSheetId="162">{"";"";"Twenty";"Thirty";"Forty";"Fifty";"Sixty";"Seventy";"Eighty";"Ninety"}</definedName>
    <definedName name="tens" localSheetId="147">{"";"";"Twenty";"Thirty";"Forty";"Fifty";"Sixty";"Seventy";"Eighty";"Ninety"}</definedName>
    <definedName name="tens" localSheetId="258">{"";"";"Twenty";"Thirty";"Forty";"Fifty";"Sixty";"Seventy";"Eighty";"Ninety"}</definedName>
    <definedName name="tens" localSheetId="141">{"";"";"Twenty";"Thirty";"Forty";"Fifty";"Sixty";"Seventy";"Eighty";"Ninety"}</definedName>
    <definedName name="tens" localSheetId="143">{"";"";"Twenty";"Thirty";"Forty";"Fifty";"Sixty";"Seventy";"Eighty";"Ninety"}</definedName>
    <definedName name="tens" localSheetId="168">{"";"";"Twenty";"Thirty";"Forty";"Fifty";"Sixty";"Seventy";"Eighty";"Ninety"}</definedName>
    <definedName name="tens" localSheetId="232">{"";"";"Twenty";"Thirty";"Forty";"Fifty";"Sixty";"Seventy";"Eighty";"Ninety"}</definedName>
    <definedName name="tens" localSheetId="249">{"";"";"Twenty";"Thirty";"Forty";"Fifty";"Sixty";"Seventy";"Eighty";"Ninety"}</definedName>
    <definedName name="tens" localSheetId="165">{"";"";"Twenty";"Thirty";"Forty";"Fifty";"Sixty";"Seventy";"Eighty";"Ninety"}</definedName>
    <definedName name="tens" localSheetId="195">{"";"";"Twenty";"Thirty";"Forty";"Fifty";"Sixty";"Seventy";"Eighty";"Ninety"}</definedName>
    <definedName name="tens" localSheetId="260">{"";"";"Twenty";"Thirty";"Forty";"Fifty";"Sixty";"Seventy";"Eighty";"Ninety"}</definedName>
    <definedName name="tens" localSheetId="166">{"";"";"Twenty";"Thirty";"Forty";"Fifty";"Sixty";"Seventy";"Eighty";"Ninety"}</definedName>
    <definedName name="tens" localSheetId="284">{"";"";"Twenty";"Thirty";"Forty";"Fifty";"Sixty";"Seventy";"Eighty";"Ninety"}</definedName>
    <definedName name="tens" localSheetId="245">{"";"";"Twenty";"Thirty";"Forty";"Fifty";"Sixty";"Seventy";"Eighty";"Ninety"}</definedName>
    <definedName name="tens" localSheetId="234">{"";"";"Twenty";"Thirty";"Forty";"Fifty";"Sixty";"Seventy";"Eighty";"Ninety"}</definedName>
    <definedName name="tens" localSheetId="218">{"";"";"Twenty";"Thirty";"Forty";"Fifty";"Sixty";"Seventy";"Eighty";"Ninety"}</definedName>
    <definedName name="tens" localSheetId="273">{"";"";"Twenty";"Thirty";"Forty";"Fifty";"Sixty";"Seventy";"Eighty";"Ninety"}</definedName>
    <definedName name="tens" localSheetId="227">{"";"";"Twenty";"Thirty";"Forty";"Fifty";"Sixty";"Seventy";"Eighty";"Ninety"}</definedName>
    <definedName name="tens" localSheetId="299">{"";"";"Twenty";"Thirty";"Forty";"Fifty";"Sixty";"Seventy";"Eighty";"Ninety"}</definedName>
    <definedName name="tens" localSheetId="286">{"";"";"Twenty";"Thirty";"Forty";"Fifty";"Sixty";"Seventy";"Eighty";"Ninety"}</definedName>
    <definedName name="tens" localSheetId="266">{"";"";"Twenty";"Thirty";"Forty";"Fifty";"Sixty";"Seventy";"Eighty";"Ninety"}</definedName>
    <definedName name="tens" localSheetId="248">{"";"";"Twenty";"Thirty";"Forty";"Fifty";"Sixty";"Seventy";"Eighty";"Ninety"}</definedName>
    <definedName name="tens" localSheetId="252">{"";"";"Twenty";"Thirty";"Forty";"Fifty";"Sixty";"Seventy";"Eighty";"Ninety"}</definedName>
    <definedName name="tens" localSheetId="231">{"";"";"Twenty";"Thirty";"Forty";"Fifty";"Sixty";"Seventy";"Eighty";"Ninety"}</definedName>
    <definedName name="tens" localSheetId="180">{"";"";"Twenty";"Thirty";"Forty";"Fifty";"Sixty";"Seventy";"Eighty";"Ninety"}</definedName>
    <definedName name="tens" localSheetId="239">{"";"";"Twenty";"Thirty";"Forty";"Fifty";"Sixty";"Seventy";"Eighty";"Ninety"}</definedName>
    <definedName name="tens" localSheetId="244">{"";"";"Twenty";"Thirty";"Forty";"Fifty";"Sixty";"Seventy";"Eighty";"Ninety"}</definedName>
    <definedName name="tens" localSheetId="246">{"";"";"Twenty";"Thirty";"Forty";"Fifty";"Sixty";"Seventy";"Eighty";"Ninety"}</definedName>
    <definedName name="tens" localSheetId="235">{"";"";"Twenty";"Thirty";"Forty";"Fifty";"Sixty";"Seventy";"Eighty";"Ninety"}</definedName>
    <definedName name="tens" localSheetId="226">{"";"";"Twenty";"Thirty";"Forty";"Fifty";"Sixty";"Seventy";"Eighty";"Ninety"}</definedName>
    <definedName name="tens" localSheetId="233">{"";"";"Twenty";"Thirty";"Forty";"Fifty";"Sixty";"Seventy";"Eighty";"Ninety"}</definedName>
    <definedName name="tens" localSheetId="241">{"";"";"Twenty";"Thirty";"Forty";"Fifty";"Sixty";"Seventy";"Eighty";"Ninety"}</definedName>
    <definedName name="tens" localSheetId="254">{"";"";"Twenty";"Thirty";"Forty";"Fifty";"Sixty";"Seventy";"Eighty";"Ninety"}</definedName>
    <definedName name="tens" localSheetId="170">{"";"";"Twenty";"Thirty";"Forty";"Fifty";"Sixty";"Seventy";"Eighty";"Ninety"}</definedName>
    <definedName name="tens" localSheetId="178">{"";"";"Twenty";"Thirty";"Forty";"Fifty";"Sixty";"Seventy";"Eighty";"Ninety"}</definedName>
    <definedName name="tens" localSheetId="186">{"";"";"Twenty";"Thirty";"Forty";"Fifty";"Sixty";"Seventy";"Eighty";"Ninety"}</definedName>
    <definedName name="tens" localSheetId="214">{"";"";"Twenty";"Thirty";"Forty";"Fifty";"Sixty";"Seventy";"Eighty";"Ninety"}</definedName>
    <definedName name="tens" localSheetId="225">{"";"";"Twenty";"Thirty";"Forty";"Fifty";"Sixty";"Seventy";"Eighty";"Ninety"}</definedName>
    <definedName name="tens" localSheetId="173">{"";"";"Twenty";"Thirty";"Forty";"Fifty";"Sixty";"Seventy";"Eighty";"Ninety"}</definedName>
    <definedName name="tens" localSheetId="289">{"";"";"Twenty";"Thirty";"Forty";"Fifty";"Sixty";"Seventy";"Eighty";"Ninety"}</definedName>
    <definedName name="tens" localSheetId="208">{"";"";"Twenty";"Thirty";"Forty";"Fifty";"Sixty";"Seventy";"Eighty";"Ninety"}</definedName>
    <definedName name="tens" localSheetId="333">{"";"";"Twenty";"Thirty";"Forty";"Fifty";"Sixty";"Seventy";"Eighty";"Ninety"}</definedName>
    <definedName name="tens" localSheetId="194">{"";"";"Twenty";"Thirty";"Forty";"Fifty";"Sixty";"Seventy";"Eighty";"Ninety"}</definedName>
    <definedName name="tens" localSheetId="253">{"";"";"Twenty";"Thirty";"Forty";"Fifty";"Sixty";"Seventy";"Eighty";"Ninety"}</definedName>
    <definedName name="tens" localSheetId="197">{"";"";"Twenty";"Thirty";"Forty";"Fifty";"Sixty";"Seventy";"Eighty";"Ninety"}</definedName>
    <definedName name="tens" localSheetId="202">{"";"";"Twenty";"Thirty";"Forty";"Fifty";"Sixty";"Seventy";"Eighty";"Ninety"}</definedName>
    <definedName name="tens" localSheetId="259">{"";"";"Twenty";"Thirty";"Forty";"Fifty";"Sixty";"Seventy";"Eighty";"Ninety"}</definedName>
    <definedName name="tens" localSheetId="267">{"";"";"Twenty";"Thirty";"Forty";"Fifty";"Sixty";"Seventy";"Eighty";"Ninety"}</definedName>
    <definedName name="tens" localSheetId="269">{"";"";"Twenty";"Thirty";"Forty";"Fifty";"Sixty";"Seventy";"Eighty";"Ninety"}</definedName>
    <definedName name="tens" localSheetId="230">{"";"";"Twenty";"Thirty";"Forty";"Fifty";"Sixty";"Seventy";"Eighty";"Ninety"}</definedName>
    <definedName name="tens" localSheetId="270">{"";"";"Twenty";"Thirty";"Forty";"Fifty";"Sixty";"Seventy";"Eighty";"Ninety"}</definedName>
    <definedName name="tens" localSheetId="236">{"";"";"Twenty";"Thirty";"Forty";"Fifty";"Sixty";"Seventy";"Eighty";"Ninety"}</definedName>
    <definedName name="tens" localSheetId="271">{"";"";"Twenty";"Thirty";"Forty";"Fifty";"Sixty";"Seventy";"Eighty";"Ninety"}</definedName>
    <definedName name="tens" localSheetId="174">{"";"";"Twenty";"Thirty";"Forty";"Fifty";"Sixty";"Seventy";"Eighty";"Ninety"}</definedName>
    <definedName name="tens" localSheetId="220">{"";"";"Twenty";"Thirty";"Forty";"Fifty";"Sixty";"Seventy";"Eighty";"Ninety"}</definedName>
    <definedName name="tens" localSheetId="324">{"";"";"Twenty";"Thirty";"Forty";"Fifty";"Sixty";"Seventy";"Eighty";"Ninety"}</definedName>
    <definedName name="tens" localSheetId="261">{"";"";"Twenty";"Thirty";"Forty";"Fifty";"Sixty";"Seventy";"Eighty";"Ninety"}</definedName>
    <definedName name="tens" localSheetId="199">{"";"";"Twenty";"Thirty";"Forty";"Fifty";"Sixty";"Seventy";"Eighty";"Ninety"}</definedName>
    <definedName name="tens" localSheetId="229">{"";"";"Twenty";"Thirty";"Forty";"Fifty";"Sixty";"Seventy";"Eighty";"Ninety"}</definedName>
    <definedName name="tens" localSheetId="256">{"";"";"Twenty";"Thirty";"Forty";"Fifty";"Sixty";"Seventy";"Eighty";"Ninety"}</definedName>
    <definedName name="tens" localSheetId="250">{"";"";"Twenty";"Thirty";"Forty";"Fifty";"Sixty";"Seventy";"Eighty";"Ninety"}</definedName>
    <definedName name="tens" localSheetId="257">{"";"";"Twenty";"Thirty";"Forty";"Fifty";"Sixty";"Seventy";"Eighty";"Ninety"}</definedName>
    <definedName name="tens" localSheetId="171">{"";"";"Twenty";"Thirty";"Forty";"Fifty";"Sixty";"Seventy";"Eighty";"Ninety"}</definedName>
    <definedName name="tens" localSheetId="278">{"";"";"Twenty";"Thirty";"Forty";"Fifty";"Sixty";"Seventy";"Eighty";"Ninety"}</definedName>
    <definedName name="tens" localSheetId="247">{"";"";"Twenty";"Thirty";"Forty";"Fifty";"Sixty";"Seventy";"Eighty";"Ninety"}</definedName>
    <definedName name="tens" localSheetId="285">{"";"";"Twenty";"Thirty";"Forty";"Fifty";"Sixty";"Seventy";"Eighty";"Ninety"}</definedName>
    <definedName name="tens" localSheetId="277">{"";"";"Twenty";"Thirty";"Forty";"Fifty";"Sixty";"Seventy";"Eighty";"Ninety"}</definedName>
    <definedName name="tens" localSheetId="291">{"";"";"Twenty";"Thirty";"Forty";"Fifty";"Sixty";"Seventy";"Eighty";"Ninety"}</definedName>
    <definedName name="tens" localSheetId="276">{"";"";"Twenty";"Thirty";"Forty";"Fifty";"Sixty";"Seventy";"Eighty";"Ninety"}</definedName>
    <definedName name="tens" localSheetId="237">{"";"";"Twenty";"Thirty";"Forty";"Fifty";"Sixty";"Seventy";"Eighty";"Ninety"}</definedName>
    <definedName name="tens" localSheetId="292">{"";"";"Twenty";"Thirty";"Forty";"Fifty";"Sixty";"Seventy";"Eighty";"Ninety"}</definedName>
    <definedName name="tens" localSheetId="287">{"";"";"Twenty";"Thirty";"Forty";"Fifty";"Sixty";"Seventy";"Eighty";"Ninety"}</definedName>
    <definedName name="tens" localSheetId="280">{"";"";"Twenty";"Thirty";"Forty";"Fifty";"Sixty";"Seventy";"Eighty";"Ninety"}</definedName>
    <definedName name="tens" localSheetId="251">{"";"";"Twenty";"Thirty";"Forty";"Fifty";"Sixty";"Seventy";"Eighty";"Ninety"}</definedName>
    <definedName name="tens" localSheetId="274">{"";"";"Twenty";"Thirty";"Forty";"Fifty";"Sixty";"Seventy";"Eighty";"Ninety"}</definedName>
    <definedName name="tens" localSheetId="169">{"";"";"Twenty";"Thirty";"Forty";"Fifty";"Sixty";"Seventy";"Eighty";"Ninety"}</definedName>
    <definedName name="tens" localSheetId="281">{"";"";"Twenty";"Thirty";"Forty";"Fifty";"Sixty";"Seventy";"Eighty";"Ninety"}</definedName>
    <definedName name="tens" localSheetId="238">{"";"";"Twenty";"Thirty";"Forty";"Fifty";"Sixty";"Seventy";"Eighty";"Ninety"}</definedName>
    <definedName name="tens" localSheetId="207">{"";"";"Twenty";"Thirty";"Forty";"Fifty";"Sixty";"Seventy";"Eighty";"Ninety"}</definedName>
    <definedName name="tens" localSheetId="272">{"";"";"Twenty";"Thirty";"Forty";"Fifty";"Sixty";"Seventy";"Eighty";"Ninety"}</definedName>
    <definedName name="tens" localSheetId="167">{"";"";"Twenty";"Thirty";"Forty";"Fifty";"Sixty";"Seventy";"Eighty";"Ninety"}</definedName>
    <definedName name="tens" localSheetId="242">{"";"";"Twenty";"Thirty";"Forty";"Fifty";"Sixty";"Seventy";"Eighty";"Ninety"}</definedName>
    <definedName name="tens" localSheetId="290">{"";"";"Twenty";"Thirty";"Forty";"Fifty";"Sixty";"Seventy";"Eighty";"Ninety"}</definedName>
    <definedName name="tens" localSheetId="265">{"";"";"Twenty";"Thirty";"Forty";"Fifty";"Sixty";"Seventy";"Eighty";"Ninety"}</definedName>
    <definedName name="tens" localSheetId="243">{"";"";"Twenty";"Thirty";"Forty";"Fifty";"Sixty";"Seventy";"Eighty";"Ninety"}</definedName>
    <definedName name="tens" localSheetId="275">{"";"";"Twenty";"Thirty";"Forty";"Fifty";"Sixty";"Seventy";"Eighty";"Ninety"}</definedName>
    <definedName name="tens" localSheetId="282">{"";"";"Twenty";"Thirty";"Forty";"Fifty";"Sixty";"Seventy";"Eighty";"Ninety"}</definedName>
    <definedName name="tens" localSheetId="279">{"";"";"Twenty";"Thirty";"Forty";"Fifty";"Sixty";"Seventy";"Eighty";"Ninety"}</definedName>
    <definedName name="tens" localSheetId="283">{"";"";"Twenty";"Thirty";"Forty";"Fifty";"Sixty";"Seventy";"Eighty";"Ninety"}</definedName>
    <definedName name="tens" localSheetId="268">{"";"";"Twenty";"Thirty";"Forty";"Fifty";"Sixty";"Seventy";"Eighty";"Ninety"}</definedName>
    <definedName name="tens" localSheetId="320">{"";"";"Twenty";"Thirty";"Forty";"Fifty";"Sixty";"Seventy";"Eighty";"Ninety"}</definedName>
    <definedName name="tens" localSheetId="221">{"";"";"Twenty";"Thirty";"Forty";"Fifty";"Sixty";"Seventy";"Eighty";"Ninety"}</definedName>
    <definedName name="tens" localSheetId="222">{"";"";"Twenty";"Thirty";"Forty";"Fifty";"Sixty";"Seventy";"Eighty";"Ninety"}</definedName>
    <definedName name="tens" localSheetId="228">{"";"";"Twenty";"Thirty";"Forty";"Fifty";"Sixty";"Seventy";"Eighty";"Ninety"}</definedName>
    <definedName name="tens" localSheetId="255">{"";"";"Twenty";"Thirty";"Forty";"Fifty";"Sixty";"Seventy";"Eighty";"Ninety"}</definedName>
    <definedName name="tens" localSheetId="172">{"";"";"Twenty";"Thirty";"Forty";"Fifty";"Sixty";"Seventy";"Eighty";"Ninety"}</definedName>
    <definedName name="tens" localSheetId="342">{"";"";"Twenty";"Thirty";"Forty";"Fifty";"Sixty";"Seventy";"Eighty";"Ninety"}</definedName>
    <definedName name="tens" localSheetId="343">{"";"";"Twenty";"Thirty";"Forty";"Fifty";"Sixty";"Seventy";"Eighty";"Ninety"}</definedName>
    <definedName name="tens" localSheetId="344">{"";"";"Twenty";"Thirty";"Forty";"Fifty";"Sixty";"Seventy";"Eighty";"Ninety"}</definedName>
    <definedName name="tens" localSheetId="345">{"";"";"Twenty";"Thirty";"Forty";"Fifty";"Sixty";"Seventy";"Eighty";"Ninety"}</definedName>
    <definedName name="tens" localSheetId="346">{"";"";"Twenty";"Thirty";"Forty";"Fifty";"Sixty";"Seventy";"Eighty";"Ninety"}</definedName>
    <definedName name="tens" localSheetId="347">{"";"";"Twenty";"Thirty";"Forty";"Fifty";"Sixty";"Seventy";"Eighty";"Ninety"}</definedName>
    <definedName name="tens" localSheetId="348">{"";"";"Twenty";"Thirty";"Forty";"Fifty";"Sixty";"Seventy";"Eighty";"Ninety"}</definedName>
    <definedName name="tens" localSheetId="341">{"";"";"Twenty";"Thirty";"Forty";"Fifty";"Sixty";"Seventy";"Eighty";"Ninety"}</definedName>
    <definedName name="tens" localSheetId="386">{"";"";"Twenty";"Thirty";"Forty";"Fifty";"Sixty";"Seventy";"Eighty";"Ninety"}</definedName>
    <definedName name="tens" localSheetId="382">{"";"";"Twenty";"Thirty";"Forty";"Fifty";"Sixty";"Seventy";"Eighty";"Ninety"}</definedName>
    <definedName name="tens" localSheetId="354">{"";"";"Twenty";"Thirty";"Forty";"Fifty";"Sixty";"Seventy";"Eighty";"Ninety"}</definedName>
    <definedName name="tens" localSheetId="379">{"";"";"Twenty";"Thirty";"Forty";"Fifty";"Sixty";"Seventy";"Eighty";"Ninety"}</definedName>
    <definedName name="tens" localSheetId="381">{"";"";"Twenty";"Thirty";"Forty";"Fifty";"Sixty";"Seventy";"Eighty";"Ninety"}</definedName>
    <definedName name="tens" localSheetId="362">{"";"";"Twenty";"Thirty";"Forty";"Fifty";"Sixty";"Seventy";"Eighty";"Ninety"}</definedName>
    <definedName name="tens" localSheetId="351">{"";"";"Twenty";"Thirty";"Forty";"Fifty";"Sixty";"Seventy";"Eighty";"Ninety"}</definedName>
    <definedName name="tens" localSheetId="353">{"";"";"Twenty";"Thirty";"Forty";"Fifty";"Sixty";"Seventy";"Eighty";"Ninety"}</definedName>
    <definedName name="tens" localSheetId="378">{"";"";"Twenty";"Thirty";"Forty";"Fifty";"Sixty";"Seventy";"Eighty";"Ninety"}</definedName>
    <definedName name="tens" localSheetId="350">{"";"";"Twenty";"Thirty";"Forty";"Fifty";"Sixty";"Seventy";"Eighty";"Ninety"}</definedName>
    <definedName name="tens" localSheetId="367">{"";"";"Twenty";"Thirty";"Forty";"Fifty";"Sixty";"Seventy";"Eighty";"Ninety"}</definedName>
    <definedName name="tens" localSheetId="368">{"";"";"Twenty";"Thirty";"Forty";"Fifty";"Sixty";"Seventy";"Eighty";"Ninety"}</definedName>
    <definedName name="tens" localSheetId="369">{"";"";"Twenty";"Thirty";"Forty";"Fifty";"Sixty";"Seventy";"Eighty";"Ninety"}</definedName>
    <definedName name="tens" localSheetId="363">{"";"";"Twenty";"Thirty";"Forty";"Fifty";"Sixty";"Seventy";"Eighty";"Ninety"}</definedName>
    <definedName name="tens" localSheetId="359">{"";"";"Twenty";"Thirty";"Forty";"Fifty";"Sixty";"Seventy";"Eighty";"Ninety"}</definedName>
    <definedName name="tens" localSheetId="356">{"";"";"Twenty";"Thirty";"Forty";"Fifty";"Sixty";"Seventy";"Eighty";"Ninety"}</definedName>
    <definedName name="tens" localSheetId="360">{"";"";"Twenty";"Thirty";"Forty";"Fifty";"Sixty";"Seventy";"Eighty";"Ninety"}</definedName>
    <definedName name="tens" localSheetId="371">{"";"";"Twenty";"Thirty";"Forty";"Fifty";"Sixty";"Seventy";"Eighty";"Ninety"}</definedName>
    <definedName name="tens" localSheetId="374">{"";"";"Twenty";"Thirty";"Forty";"Fifty";"Sixty";"Seventy";"Eighty";"Ninety"}</definedName>
    <definedName name="tens" localSheetId="361">{"";"";"Twenty";"Thirty";"Forty";"Fifty";"Sixty";"Seventy";"Eighty";"Ninety"}</definedName>
    <definedName name="tens" localSheetId="358">{"";"";"Twenty";"Thirty";"Forty";"Fifty";"Sixty";"Seventy";"Eighty";"Ninety"}</definedName>
    <definedName name="tens" localSheetId="373">{"";"";"Twenty";"Thirty";"Forty";"Fifty";"Sixty";"Seventy";"Eighty";"Ninety"}</definedName>
    <definedName name="tens" localSheetId="375">{"";"";"Twenty";"Thirty";"Forty";"Fifty";"Sixty";"Seventy";"Eighty";"Ninety"}</definedName>
    <definedName name="tens" localSheetId="370">{"";"";"Twenty";"Thirty";"Forty";"Fifty";"Sixty";"Seventy";"Eighty";"Ninety"}</definedName>
    <definedName name="tens" localSheetId="355">{"";"";"Twenty";"Thirty";"Forty";"Fifty";"Sixty";"Seventy";"Eighty";"Ninety"}</definedName>
    <definedName name="tens" localSheetId="380">{"";"";"Twenty";"Thirty";"Forty";"Fifty";"Sixty";"Seventy";"Eighty";"Ninety"}</definedName>
    <definedName name="tens" localSheetId="357">{"";"";"Twenty";"Thirty";"Forty";"Fifty";"Sixty";"Seventy";"Eighty";"Ninety"}</definedName>
    <definedName name="tens" localSheetId="366">{"";"";"Twenty";"Thirty";"Forty";"Fifty";"Sixty";"Seventy";"Eighty";"Ninety"}</definedName>
    <definedName name="tens" localSheetId="372">{"";"";"Twenty";"Thirty";"Forty";"Fifty";"Sixty";"Seventy";"Eighty";"Ninety"}</definedName>
    <definedName name="tens" localSheetId="60">{"";"";"Twenty";"Thirty";"Forty";"Fifty";"Sixty";"Seventy";"Eighty";"Ninety"}</definedName>
    <definedName name="tens" localSheetId="376">{"";"";"Twenty";"Thirty";"Forty";"Fifty";"Sixty";"Seventy";"Eighty";"Ninety"}</definedName>
    <definedName name="tens" localSheetId="352">{"";"";"Twenty";"Thirty";"Forty";"Fifty";"Sixty";"Seventy";"Eighty";"Ninety"}</definedName>
    <definedName name="tens" localSheetId="364">{"";"";"Twenty";"Thirty";"Forty";"Fifty";"Sixty";"Seventy";"Eighty";"Ninety"}</definedName>
    <definedName name="tens" localSheetId="365">{"";"";"Twenty";"Thirty";"Forty";"Fifty";"Sixty";"Seventy";"Eighty";"Ninety"}</definedName>
    <definedName name="tens" localSheetId="406">{"";"";"Twenty";"Thirty";"Forty";"Fifty";"Sixty";"Seventy";"Eighty";"Ninety"}</definedName>
    <definedName name="tens" localSheetId="48">{"";"";"Twenty";"Thirty";"Forty";"Fifty";"Sixty";"Seventy";"Eighty";"Ninety"}</definedName>
    <definedName name="tens" localSheetId="54">{"";"";"Twenty";"Thirty";"Forty";"Fifty";"Sixty";"Seventy";"Eighty";"Ninety"}</definedName>
    <definedName name="tens" localSheetId="52">{"";"";"Twenty";"Thirty";"Forty";"Fifty";"Sixty";"Seventy";"Eighty";"Ninety"}</definedName>
    <definedName name="tens" localSheetId="4">{"";"";"Twenty";"Thirty";"Forty";"Fifty";"Sixty";"Seventy";"Eighty";"Ninety"}</definedName>
    <definedName name="tens" localSheetId="555">{"";"";"Twenty";"Thirty";"Forty";"Fifty";"Sixty";"Seventy";"Eighty";"Ninety"}</definedName>
    <definedName name="tens" localSheetId="81">{"";"";"Twenty";"Thirty";"Forty";"Fifty";"Sixty";"Seventy";"Eighty";"Ninety"}</definedName>
    <definedName name="tens" localSheetId="25">{"";"";"Twenty";"Thirty";"Forty";"Fifty";"Sixty";"Seventy";"Eighty";"Ninety"}</definedName>
    <definedName name="tens" localSheetId="398">{"";"";"Twenty";"Thirty";"Forty";"Fifty";"Sixty";"Seventy";"Eighty";"Ninety"}</definedName>
    <definedName name="tens" localSheetId="46">{"";"";"Twenty";"Thirty";"Forty";"Fifty";"Sixty";"Seventy";"Eighty";"Ninety"}</definedName>
    <definedName name="tens" localSheetId="10">{"";"";"Twenty";"Thirty";"Forty";"Fifty";"Sixty";"Seventy";"Eighty";"Ninety"}</definedName>
    <definedName name="tens" localSheetId="426">{"";"";"Twenty";"Thirty";"Forty";"Fifty";"Sixty";"Seventy";"Eighty";"Ninety"}</definedName>
    <definedName name="tens" localSheetId="6">{"";"";"Twenty";"Thirty";"Forty";"Fifty";"Sixty";"Seventy";"Eighty";"Ninety"}</definedName>
    <definedName name="tens" localSheetId="32">{"";"";"Twenty";"Thirty";"Forty";"Fifty";"Sixty";"Seventy";"Eighty";"Ninety"}</definedName>
    <definedName name="tens" localSheetId="53">{"";"";"Twenty";"Thirty";"Forty";"Fifty";"Sixty";"Seventy";"Eighty";"Ninety"}</definedName>
    <definedName name="tens" localSheetId="414">{"";"";"Twenty";"Thirty";"Forty";"Fifty";"Sixty";"Seventy";"Eighty";"Ninety"}</definedName>
    <definedName name="tens" localSheetId="20">{"";"";"Twenty";"Thirty";"Forty";"Fifty";"Sixty";"Seventy";"Eighty";"Ninety"}</definedName>
    <definedName name="tens" localSheetId="13">{"";"";"Twenty";"Thirty";"Forty";"Fifty";"Sixty";"Seventy";"Eighty";"Ninety"}</definedName>
    <definedName name="tens" localSheetId="38">{"";"";"Twenty";"Thirty";"Forty";"Fifty";"Sixty";"Seventy";"Eighty";"Ninety"}</definedName>
    <definedName name="tens" localSheetId="423">{"";"";"Twenty";"Thirty";"Forty";"Fifty";"Sixty";"Seventy";"Eighty";"Ninety"}</definedName>
    <definedName name="tens" localSheetId="36">{"";"";"Twenty";"Thirty";"Forty";"Fifty";"Sixty";"Seventy";"Eighty";"Ninety"}</definedName>
    <definedName name="tens" localSheetId="399">{"";"";"Twenty";"Thirty";"Forty";"Fifty";"Sixty";"Seventy";"Eighty";"Ninety"}</definedName>
    <definedName name="tens" localSheetId="55">{"";"";"Twenty";"Thirty";"Forty";"Fifty";"Sixty";"Seventy";"Eighty";"Ninety"}</definedName>
    <definedName name="tens" localSheetId="29">{"";"";"Twenty";"Thirty";"Forty";"Fifty";"Sixty";"Seventy";"Eighty";"Ninety"}</definedName>
    <definedName name="tens" localSheetId="50">{"";"";"Twenty";"Thirty";"Forty";"Fifty";"Sixty";"Seventy";"Eighty";"Ninety"}</definedName>
    <definedName name="tens" localSheetId="409">{"";"";"Twenty";"Thirty";"Forty";"Fifty";"Sixty";"Seventy";"Eighty";"Ninety"}</definedName>
    <definedName name="tens" localSheetId="12">{"";"";"Twenty";"Thirty";"Forty";"Fifty";"Sixty";"Seventy";"Eighty";"Ninety"}</definedName>
    <definedName name="tens" localSheetId="9">{"";"";"Twenty";"Thirty";"Forty";"Fifty";"Sixty";"Seventy";"Eighty";"Ninety"}</definedName>
    <definedName name="tens" localSheetId="79">{"";"";"Twenty";"Thirty";"Forty";"Fifty";"Sixty";"Seventy";"Eighty";"Ninety"}</definedName>
    <definedName name="tens" localSheetId="58">{"";"";"Twenty";"Thirty";"Forty";"Fifty";"Sixty";"Seventy";"Eighty";"Ninety"}</definedName>
    <definedName name="tens" localSheetId="74">{"";"";"Twenty";"Thirty";"Forty";"Fifty";"Sixty";"Seventy";"Eighty";"Ninety"}</definedName>
    <definedName name="tens" localSheetId="56">{"";"";"Twenty";"Thirty";"Forty";"Fifty";"Sixty";"Seventy";"Eighty";"Ninety"}</definedName>
    <definedName name="tens" localSheetId="43">{"";"";"Twenty";"Thirty";"Forty";"Fifty";"Sixty";"Seventy";"Eighty";"Ninety"}</definedName>
    <definedName name="tens" localSheetId="22">{"";"";"Twenty";"Thirty";"Forty";"Fifty";"Sixty";"Seventy";"Eighty";"Ninety"}</definedName>
    <definedName name="tens" localSheetId="16">{"";"";"Twenty";"Thirty";"Forty";"Fifty";"Sixty";"Seventy";"Eighty";"Ninety"}</definedName>
    <definedName name="tens" localSheetId="31">{"";"";"Twenty";"Thirty";"Forty";"Fifty";"Sixty";"Seventy";"Eighty";"Ninety"}</definedName>
    <definedName name="tens" localSheetId="449">{"";"";"Twenty";"Thirty";"Forty";"Fifty";"Sixty";"Seventy";"Eighty";"Ninety"}</definedName>
    <definedName name="tens" localSheetId="26">{"";"";"Twenty";"Thirty";"Forty";"Fifty";"Sixty";"Seventy";"Eighty";"Ninety"}</definedName>
    <definedName name="tens" localSheetId="494">{"";"";"Twenty";"Thirty";"Forty";"Fifty";"Sixty";"Seventy";"Eighty";"Ninety"}</definedName>
    <definedName name="tens" localSheetId="402">{"";"";"Twenty";"Thirty";"Forty";"Fifty";"Sixty";"Seventy";"Eighty";"Ninety"}</definedName>
    <definedName name="tens" localSheetId="40">{"";"";"Twenty";"Thirty";"Forty";"Fifty";"Sixty";"Seventy";"Eighty";"Ninety"}</definedName>
    <definedName name="tens" localSheetId="41">{"";"";"Twenty";"Thirty";"Forty";"Fifty";"Sixty";"Seventy";"Eighty";"Ninety"}</definedName>
    <definedName name="tens" localSheetId="42">{"";"";"Twenty";"Thirty";"Forty";"Fifty";"Sixty";"Seventy";"Eighty";"Ninety"}</definedName>
    <definedName name="tens" localSheetId="7">{"";"";"Twenty";"Thirty";"Forty";"Fifty";"Sixty";"Seventy";"Eighty";"Ninety"}</definedName>
    <definedName name="tens" localSheetId="27">{"";"";"Twenty";"Thirty";"Forty";"Fifty";"Sixty";"Seventy";"Eighty";"Ninety"}</definedName>
    <definedName name="tens" localSheetId="71">{"";"";"Twenty";"Thirty";"Forty";"Fifty";"Sixty";"Seventy";"Eighty";"Ninety"}</definedName>
    <definedName name="tens" localSheetId="19">{"";"";"Twenty";"Thirty";"Forty";"Fifty";"Sixty";"Seventy";"Eighty";"Ninety"}</definedName>
    <definedName name="tens" localSheetId="403">{"";"";"Twenty";"Thirty";"Forty";"Fifty";"Sixty";"Seventy";"Eighty";"Ninety"}</definedName>
    <definedName name="tens" localSheetId="400">{"";"";"Twenty";"Thirty";"Forty";"Fifty";"Sixty";"Seventy";"Eighty";"Ninety"}</definedName>
    <definedName name="tens" localSheetId="17">{"";"";"Twenty";"Thirty";"Forty";"Fifty";"Sixty";"Seventy";"Eighty";"Ninety"}</definedName>
    <definedName name="tens" localSheetId="411">{"";"";"Twenty";"Thirty";"Forty";"Fifty";"Sixty";"Seventy";"Eighty";"Ninety"}</definedName>
    <definedName name="tens" localSheetId="47">{"";"";"Twenty";"Thirty";"Forty";"Fifty";"Sixty";"Seventy";"Eighty";"Ninety"}</definedName>
    <definedName name="tens" localSheetId="77">{"";"";"Twenty";"Thirty";"Forty";"Fifty";"Sixty";"Seventy";"Eighty";"Ninety"}</definedName>
    <definedName name="tens" localSheetId="18">{"";"";"Twenty";"Thirty";"Forty";"Fifty";"Sixty";"Seventy";"Eighty";"Ninety"}</definedName>
    <definedName name="tens" localSheetId="39">{"";"";"Twenty";"Thirty";"Forty";"Fifty";"Sixty";"Seventy";"Eighty";"Ninety"}</definedName>
    <definedName name="tens" localSheetId="15">{"";"";"Twenty";"Thirty";"Forty";"Fifty";"Sixty";"Seventy";"Eighty";"Ninety"}</definedName>
    <definedName name="tens" localSheetId="8">{"";"";"Twenty";"Thirty";"Forty";"Fifty";"Sixty";"Seventy";"Eighty";"Ninety"}</definedName>
    <definedName name="tens" localSheetId="51">{"";"";"Twenty";"Thirty";"Forty";"Fifty";"Sixty";"Seventy";"Eighty";"Ninety"}</definedName>
    <definedName name="tens" localSheetId="82">{"";"";"Twenty";"Thirty";"Forty";"Fifty";"Sixty";"Seventy";"Eighty";"Ninety"}</definedName>
    <definedName name="tens" localSheetId="49">{"";"";"Twenty";"Thirty";"Forty";"Fifty";"Sixty";"Seventy";"Eighty";"Ninety"}</definedName>
    <definedName name="tens" localSheetId="75">{"";"";"Twenty";"Thirty";"Forty";"Fifty";"Sixty";"Seventy";"Eighty";"Ninety"}</definedName>
    <definedName name="tens" localSheetId="30">{"";"";"Twenty";"Thirty";"Forty";"Fifty";"Sixty";"Seventy";"Eighty";"Ninety"}</definedName>
    <definedName name="tens" localSheetId="73">{"";"";"Twenty";"Thirty";"Forty";"Fifty";"Sixty";"Seventy";"Eighty";"Ninety"}</definedName>
    <definedName name="tens" localSheetId="509">{"";"";"Twenty";"Thirty";"Forty";"Fifty";"Sixty";"Seventy";"Eighty";"Ninety"}</definedName>
    <definedName name="tens" localSheetId="416">{"";"";"Twenty";"Thirty";"Forty";"Fifty";"Sixty";"Seventy";"Eighty";"Ninety"}</definedName>
    <definedName name="tens" localSheetId="0">{"";"";"Twenty";"Thirty";"Forty";"Fifty";"Sixty";"Seventy";"Eighty";"Ninety"}</definedName>
    <definedName name="tens" localSheetId="401">{"";"";"Twenty";"Thirty";"Forty";"Fifty";"Sixty";"Seventy";"Eighty";"Ninety"}</definedName>
    <definedName name="tens" localSheetId="433">{"";"";"Twenty";"Thirty";"Forty";"Fifty";"Sixty";"Seventy";"Eighty";"Ninety"}</definedName>
    <definedName name="tens" localSheetId="417">{"";"";"Twenty";"Thirty";"Forty";"Fifty";"Sixty";"Seventy";"Eighty";"Ninety"}</definedName>
    <definedName name="tens" localSheetId="419">{"";"";"Twenty";"Thirty";"Forty";"Fifty";"Sixty";"Seventy";"Eighty";"Ninety"}</definedName>
    <definedName name="tens" localSheetId="76">{"";"";"Twenty";"Thirty";"Forty";"Fifty";"Sixty";"Seventy";"Eighty";"Ninety"}</definedName>
    <definedName name="tens" localSheetId="28">{"";"";"Twenty";"Thirty";"Forty";"Fifty";"Sixty";"Seventy";"Eighty";"Ninety"}</definedName>
    <definedName name="tens" localSheetId="24">{"";"";"Twenty";"Thirty";"Forty";"Fifty";"Sixty";"Seventy";"Eighty";"Ninety"}</definedName>
    <definedName name="tens" localSheetId="80">{"";"";"Twenty";"Thirty";"Forty";"Fifty";"Sixty";"Seventy";"Eighty";"Ninety"}</definedName>
    <definedName name="tens" localSheetId="3">{"";"";"Twenty";"Thirty";"Forty";"Fifty";"Sixty";"Seventy";"Eighty";"Ninety"}</definedName>
    <definedName name="tens" localSheetId="34">{"";"";"Twenty";"Thirty";"Forty";"Fifty";"Sixty";"Seventy";"Eighty";"Ninety"}</definedName>
    <definedName name="tens" localSheetId="35">{"";"";"Twenty";"Thirty";"Forty";"Fifty";"Sixty";"Seventy";"Eighty";"Ninety"}</definedName>
    <definedName name="tens" localSheetId="44">{"";"";"Twenty";"Thirty";"Forty";"Fifty";"Sixty";"Seventy";"Eighty";"Ninety"}</definedName>
    <definedName name="tens" localSheetId="410">{"";"";"Twenty";"Thirty";"Forty";"Fifty";"Sixty";"Seventy";"Eighty";"Ninety"}</definedName>
    <definedName name="tens" localSheetId="23">{"";"";"Twenty";"Thirty";"Forty";"Fifty";"Sixty";"Seventy";"Eighty";"Ninety"}</definedName>
    <definedName name="tens" localSheetId="427">{"";"";"Twenty";"Thirty";"Forty";"Fifty";"Sixty";"Seventy";"Eighty";"Ninety"}</definedName>
    <definedName name="tens" localSheetId="45">{"";"";"Twenty";"Thirty";"Forty";"Fifty";"Sixty";"Seventy";"Eighty";"Ninety"}</definedName>
    <definedName name="tens" localSheetId="57">{"";"";"Twenty";"Thirty";"Forty";"Fifty";"Sixty";"Seventy";"Eighty";"Ninety"}</definedName>
    <definedName name="tens" localSheetId="37">{"";"";"Twenty";"Thirty";"Forty";"Fifty";"Sixty";"Seventy";"Eighty";"Ninety"}</definedName>
    <definedName name="tens" localSheetId="72">{"";"";"Twenty";"Thirty";"Forty";"Fifty";"Sixty";"Seventy";"Eighty";"Ninety"}</definedName>
    <definedName name="tens" localSheetId="498">{"";"";"Twenty";"Thirty";"Forty";"Fifty";"Sixty";"Seventy";"Eighty";"Ninety"}</definedName>
    <definedName name="tens" localSheetId="485">{"";"";"Twenty";"Thirty";"Forty";"Fifty";"Sixty";"Seventy";"Eighty";"Ninety"}</definedName>
    <definedName name="tens" localSheetId="480">{"";"";"Twenty";"Thirty";"Forty";"Fifty";"Sixty";"Seventy";"Eighty";"Ninety"}</definedName>
    <definedName name="tens" localSheetId="84">{"";"";"Twenty";"Thirty";"Forty";"Fifty";"Sixty";"Seventy";"Eighty";"Ninety"}</definedName>
    <definedName name="tens" localSheetId="499">{"";"";"Twenty";"Thirty";"Forty";"Fifty";"Sixty";"Seventy";"Eighty";"Ninety"}</definedName>
    <definedName name="tens" localSheetId="466">{"";"";"Twenty";"Thirty";"Forty";"Fifty";"Sixty";"Seventy";"Eighty";"Ninety"}</definedName>
    <definedName name="tens" localSheetId="507">{"";"";"Twenty";"Thirty";"Forty";"Fifty";"Sixty";"Seventy";"Eighty";"Ninety"}</definedName>
    <definedName name="tens" localSheetId="518">{"";"";"Twenty";"Thirty";"Forty";"Fifty";"Sixty";"Seventy";"Eighty";"Ninety"}</definedName>
    <definedName name="tens" localSheetId="97">{"";"";"Twenty";"Thirty";"Forty";"Fifty";"Sixty";"Seventy";"Eighty";"Ninety"}</definedName>
    <definedName name="tens" localSheetId="520">{"";"";"Twenty";"Thirty";"Forty";"Fifty";"Sixty";"Seventy";"Eighty";"Ninety"}</definedName>
    <definedName name="tens" localSheetId="479">{"";"";"Twenty";"Thirty";"Forty";"Fifty";"Sixty";"Seventy";"Eighty";"Ninety"}</definedName>
    <definedName name="tens" localSheetId="501">{"";"";"Twenty";"Thirty";"Forty";"Fifty";"Sixty";"Seventy";"Eighty";"Ninety"}</definedName>
    <definedName name="tens" localSheetId="85">{"";"";"Twenty";"Thirty";"Forty";"Fifty";"Sixty";"Seventy";"Eighty";"Ninety"}</definedName>
    <definedName name="tens" localSheetId="505">{"";"";"Twenty";"Thirty";"Forty";"Fifty";"Sixty";"Seventy";"Eighty";"Ninety"}</definedName>
    <definedName name="tens" localSheetId="527">{"";"";"Twenty";"Thirty";"Forty";"Fifty";"Sixty";"Seventy";"Eighty";"Ninety"}</definedName>
    <definedName name="tens" localSheetId="486">{"";"";"Twenty";"Thirty";"Forty";"Fifty";"Sixty";"Seventy";"Eighty";"Ninety"}</definedName>
    <definedName name="tens" localSheetId="512">{"";"";"Twenty";"Thirty";"Forty";"Fifty";"Sixty";"Seventy";"Eighty";"Ninety"}</definedName>
    <definedName name="tens" localSheetId="523">{"";"";"Twenty";"Thirty";"Forty";"Fifty";"Sixty";"Seventy";"Eighty";"Ninety"}</definedName>
    <definedName name="tens" localSheetId="506">{"";"";"Twenty";"Thirty";"Forty";"Fifty";"Sixty";"Seventy";"Eighty";"Ninety"}</definedName>
    <definedName name="tens" localSheetId="490">{"";"";"Twenty";"Thirty";"Forty";"Fifty";"Sixty";"Seventy";"Eighty";"Ninety"}</definedName>
    <definedName name="tens" localSheetId="528">{"";"";"Twenty";"Thirty";"Forty";"Fifty";"Sixty";"Seventy";"Eighty";"Ninety"}</definedName>
    <definedName name="tens" localSheetId="491">{"";"";"Twenty";"Thirty";"Forty";"Fifty";"Sixty";"Seventy";"Eighty";"Ninety"}</definedName>
    <definedName name="tens" localSheetId="526">{"";"";"Twenty";"Thirty";"Forty";"Fifty";"Sixty";"Seventy";"Eighty";"Ninety"}</definedName>
    <definedName name="tens" localSheetId="521">{"";"";"Twenty";"Thirty";"Forty";"Fifty";"Sixty";"Seventy";"Eighty";"Ninety"}</definedName>
    <definedName name="tens" localSheetId="95">{"";"";"Twenty";"Thirty";"Forty";"Fifty";"Sixty";"Seventy";"Eighty";"Ninety"}</definedName>
    <definedName name="tens" localSheetId="96">{"";"";"Twenty";"Thirty";"Forty";"Fifty";"Sixty";"Seventy";"Eighty";"Ninety"}</definedName>
    <definedName name="tens" localSheetId="1">{"";"";"Twenty";"Thirty";"Forty";"Fifty";"Sixty";"Seventy";"Eighty";"Ninety"}</definedName>
    <definedName name="tens" localSheetId="465">{"";"";"Twenty";"Thirty";"Forty";"Fifty";"Sixty";"Seventy";"Eighty";"Ninety"}</definedName>
    <definedName name="tens" localSheetId="495">{"";"";"Twenty";"Thirty";"Forty";"Fifty";"Sixty";"Seventy";"Eighty";"Ninety"}</definedName>
    <definedName name="tens" localSheetId="536">{"";"";"Twenty";"Thirty";"Forty";"Fifty";"Sixty";"Seventy";"Eighty";"Ninety"}</definedName>
    <definedName name="tens" localSheetId="476">{"";"";"Twenty";"Thirty";"Forty";"Fifty";"Sixty";"Seventy";"Eighty";"Ninety"}</definedName>
    <definedName name="tens" localSheetId="83">{"";"";"Twenty";"Thirty";"Forty";"Fifty";"Sixty";"Seventy";"Eighty";"Ninety"}</definedName>
    <definedName name="tens" localSheetId="503">{"";"";"Twenty";"Thirty";"Forty";"Fifty";"Sixty";"Seventy";"Eighty";"Ninety"}</definedName>
    <definedName name="tens" localSheetId="504">{"";"";"Twenty";"Thirty";"Forty";"Fifty";"Sixty";"Seventy";"Eighty";"Ninety"}</definedName>
    <definedName name="tens" localSheetId="89">{"";"";"Twenty";"Thirty";"Forty";"Fifty";"Sixty";"Seventy";"Eighty";"Ninety"}</definedName>
    <definedName name="tens" localSheetId="484">{"";"";"Twenty";"Thirty";"Forty";"Fifty";"Sixty";"Seventy";"Eighty";"Ninety"}</definedName>
    <definedName name="tens" localSheetId="516">{"";"";"Twenty";"Thirty";"Forty";"Fifty";"Sixty";"Seventy";"Eighty";"Ninety"}</definedName>
    <definedName name="tens" localSheetId="473">{"";"";"Twenty";"Thirty";"Forty";"Fifty";"Sixty";"Seventy";"Eighty";"Ninety"}</definedName>
    <definedName name="tens" localSheetId="497">{"";"";"Twenty";"Thirty";"Forty";"Fifty";"Sixty";"Seventy";"Eighty";"Ninety"}</definedName>
    <definedName name="tens" localSheetId="582">{"";"";"Twenty";"Thirty";"Forty";"Fifty";"Sixty";"Seventy";"Eighty";"Ninety"}</definedName>
    <definedName name="tens" localSheetId="525">{"";"";"Twenty";"Thirty";"Forty";"Fifty";"Sixty";"Seventy";"Eighty";"Ninety"}</definedName>
    <definedName name="tens" localSheetId="522">{"";"";"Twenty";"Thirty";"Forty";"Fifty";"Sixty";"Seventy";"Eighty";"Ninety"}</definedName>
    <definedName name="tens" localSheetId="468">{"";"";"Twenty";"Thirty";"Forty";"Fifty";"Sixty";"Seventy";"Eighty";"Ninety"}</definedName>
    <definedName name="tens" localSheetId="462">{"";"";"Twenty";"Thirty";"Forty";"Fifty";"Sixty";"Seventy";"Eighty";"Ninety"}</definedName>
    <definedName name="tens" localSheetId="510">{"";"";"Twenty";"Thirty";"Forty";"Fifty";"Sixty";"Seventy";"Eighty";"Ninety"}</definedName>
    <definedName name="tens" localSheetId="483">{"";"";"Twenty";"Thirty";"Forty";"Fifty";"Sixty";"Seventy";"Eighty";"Ninety"}</definedName>
    <definedName name="tens" localSheetId="87">{"";"";"Twenty";"Thirty";"Forty";"Fifty";"Sixty";"Seventy";"Eighty";"Ninety"}</definedName>
    <definedName name="tens" localSheetId="86">{"";"";"Twenty";"Thirty";"Forty";"Fifty";"Sixty";"Seventy";"Eighty";"Ninety"}</definedName>
    <definedName name="tens" localSheetId="477">{"";"";"Twenty";"Thirty";"Forty";"Fifty";"Sixty";"Seventy";"Eighty";"Ninety"}</definedName>
    <definedName name="tens" localSheetId="90">{"";"";"Twenty";"Thirty";"Forty";"Fifty";"Sixty";"Seventy";"Eighty";"Ninety"}</definedName>
    <definedName name="tens" localSheetId="91">{"";"";"Twenty";"Thirty";"Forty";"Fifty";"Sixty";"Seventy";"Eighty";"Ninety"}</definedName>
    <definedName name="tens" localSheetId="511">{"";"";"Twenty";"Thirty";"Forty";"Fifty";"Sixty";"Seventy";"Eighty";"Ninety"}</definedName>
    <definedName name="tens" localSheetId="471">{"";"";"Twenty";"Thirty";"Forty";"Fifty";"Sixty";"Seventy";"Eighty";"Ninety"}</definedName>
    <definedName name="tens" localSheetId="488">{"";"";"Twenty";"Thirty";"Forty";"Fifty";"Sixty";"Seventy";"Eighty";"Ninety"}</definedName>
    <definedName name="tens" localSheetId="478">{"";"";"Twenty";"Thirty";"Forty";"Fifty";"Sixty";"Seventy";"Eighty";"Ninety"}</definedName>
    <definedName name="tens" localSheetId="530">{"";"";"Twenty";"Thirty";"Forty";"Fifty";"Sixty";"Seventy";"Eighty";"Ninety"}</definedName>
    <definedName name="tens" localSheetId="531">{"";"";"Twenty";"Thirty";"Forty";"Fifty";"Sixty";"Seventy";"Eighty";"Ninety"}</definedName>
    <definedName name="tens" localSheetId="532">{"";"";"Twenty";"Thirty";"Forty";"Fifty";"Sixty";"Seventy";"Eighty";"Ninety"}</definedName>
    <definedName name="tens" localSheetId="533">{"";"";"Twenty";"Thirty";"Forty";"Fifty";"Sixty";"Seventy";"Eighty";"Ninety"}</definedName>
    <definedName name="tens" localSheetId="548">{"";"";"Twenty";"Thirty";"Forty";"Fifty";"Sixty";"Seventy";"Eighty";"Ninety"}</definedName>
    <definedName name="tens" localSheetId="464">{"";"";"Twenty";"Thirty";"Forty";"Fifty";"Sixty";"Seventy";"Eighty";"Ninety"}</definedName>
    <definedName name="tens" localSheetId="460">{"";"";"Twenty";"Thirty";"Forty";"Fifty";"Sixty";"Seventy";"Eighty";"Ninety"}</definedName>
    <definedName name="tens" localSheetId="456">{"";"";"Twenty";"Thirty";"Forty";"Fifty";"Sixty";"Seventy";"Eighty";"Ninety"}</definedName>
    <definedName name="tens" localSheetId="474">{"";"";"Twenty";"Thirty";"Forty";"Fifty";"Sixty";"Seventy";"Eighty";"Ninety"}</definedName>
    <definedName name="tens" localSheetId="508">{"";"";"Twenty";"Thirty";"Forty";"Fifty";"Sixty";"Seventy";"Eighty";"Ninety"}</definedName>
    <definedName name="tens" localSheetId="454">{"";"";"Twenty";"Thirty";"Forty";"Fifty";"Sixty";"Seventy";"Eighty";"Ninety"}</definedName>
    <definedName name="tens" localSheetId="93">{"";"";"Twenty";"Thirty";"Forty";"Fifty";"Sixty";"Seventy";"Eighty";"Ninety"}</definedName>
    <definedName name="tens" localSheetId="451">{"";"";"Twenty";"Thirty";"Forty";"Fifty";"Sixty";"Seventy";"Eighty";"Ninety"}</definedName>
    <definedName name="tens" localSheetId="515">{"";"";"Twenty";"Thirty";"Forty";"Fifty";"Sixty";"Seventy";"Eighty";"Ninety"}</definedName>
    <definedName name="tens" localSheetId="539">{"";"";"Twenty";"Thirty";"Forty";"Fifty";"Sixty";"Seventy";"Eighty";"Ninety"}</definedName>
    <definedName name="tens" localSheetId="513">{"";"";"Twenty";"Thirty";"Forty";"Fifty";"Sixty";"Seventy";"Eighty";"Ninety"}</definedName>
    <definedName name="tens" localSheetId="519">{"";"";"Twenty";"Thirty";"Forty";"Fifty";"Sixty";"Seventy";"Eighty";"Ninety"}</definedName>
    <definedName name="tens" localSheetId="467">{"";"";"Twenty";"Thirty";"Forty";"Fifty";"Sixty";"Seventy";"Eighty";"Ninety"}</definedName>
    <definedName name="tens" localSheetId="493">{"";"";"Twenty";"Thirty";"Forty";"Fifty";"Sixty";"Seventy";"Eighty";"Ninety"}</definedName>
    <definedName name="tens" localSheetId="502">{"";"";"Twenty";"Thirty";"Forty";"Fifty";"Sixty";"Seventy";"Eighty";"Ninety"}</definedName>
    <definedName name="tens" localSheetId="496">{"";"";"Twenty";"Thirty";"Forty";"Fifty";"Sixty";"Seventy";"Eighty";"Ninety"}</definedName>
    <definedName name="tens" localSheetId="92">{"";"";"Twenty";"Thirty";"Forty";"Fifty";"Sixty";"Seventy";"Eighty";"Ninety"}</definedName>
    <definedName name="tens" localSheetId="500">{"";"";"Twenty";"Thirty";"Forty";"Fifty";"Sixty";"Seventy";"Eighty";"Ninety"}</definedName>
    <definedName name="tens" localSheetId="5">{"";"";"Twenty";"Thirty";"Forty";"Fifty";"Sixty";"Seventy";"Eighty";"Ninety"}</definedName>
    <definedName name="tens" localSheetId="524">{"";"";"Twenty";"Thirty";"Forty";"Fifty";"Sixty";"Seventy";"Eighty";"Ninety"}</definedName>
    <definedName name="tens" localSheetId="489">{"";"";"Twenty";"Thirty";"Forty";"Fifty";"Sixty";"Seventy";"Eighty";"Ninety"}</definedName>
    <definedName name="tens" localSheetId="88">{"";"";"Twenty";"Thirty";"Forty";"Fifty";"Sixty";"Seventy";"Eighty";"Ninety"}</definedName>
    <definedName name="tens" localSheetId="11">{"";"";"Twenty";"Thirty";"Forty";"Fifty";"Sixty";"Seventy";"Eighty";"Ninety"}</definedName>
    <definedName name="tens" localSheetId="517">{"";"";"Twenty";"Thirty";"Forty";"Fifty";"Sixty";"Seventy";"Eighty";"Ninety"}</definedName>
    <definedName name="tens" localSheetId="469">{"";"";"Twenty";"Thirty";"Forty";"Fifty";"Sixty";"Seventy";"Eighty";"Ninety"}</definedName>
    <definedName name="tens" localSheetId="472">{"";"";"Twenty";"Thirty";"Forty";"Fifty";"Sixty";"Seventy";"Eighty";"Ninety"}</definedName>
    <definedName name="tens" localSheetId="537">{"";"";"Twenty";"Thirty";"Forty";"Fifty";"Sixty";"Seventy";"Eighty";"Ninety"}</definedName>
    <definedName name="tens" localSheetId="487">{"";"";"Twenty";"Thirty";"Forty";"Fifty";"Sixty";"Seventy";"Eighty";"Ninety"}</definedName>
    <definedName name="tens" localSheetId="475">{"";"";"Twenty";"Thirty";"Forty";"Fifty";"Sixty";"Seventy";"Eighty";"Ninety"}</definedName>
    <definedName name="tens" localSheetId="514">{"";"";"Twenty";"Thirty";"Forty";"Fifty";"Sixty";"Seventy";"Eighty";"Ninety"}</definedName>
    <definedName name="tens" localSheetId="492">{"";"";"Twenty";"Thirty";"Forty";"Fifty";"Sixty";"Seventy";"Eighty";"Ninety"}</definedName>
    <definedName name="tens" localSheetId="549">{"";"";"Twenty";"Thirty";"Forty";"Fifty";"Sixty";"Seventy";"Eighty";"Ninety"}</definedName>
    <definedName name="tens" localSheetId="470">{"";"";"Twenty";"Thirty";"Forty";"Fifty";"Sixty";"Seventy";"Eighty";"Ninety"}</definedName>
    <definedName name="tens" localSheetId="482">{"";"";"Twenty";"Thirty";"Forty";"Fifty";"Sixty";"Seventy";"Eighty";"Ninety"}</definedName>
    <definedName name="tens" localSheetId="562">{"";"";"Twenty";"Thirty";"Forty";"Fifty";"Sixty";"Seventy";"Eighty";"Ninety"}</definedName>
    <definedName name="tens" localSheetId="558">{"";"";"Twenty";"Thirty";"Forty";"Fifty";"Sixty";"Seventy";"Eighty";"Ninety"}</definedName>
    <definedName name="tens" localSheetId="556">{"";"";"Twenty";"Thirty";"Forty";"Fifty";"Sixty";"Seventy";"Eighty";"Ninety"}</definedName>
    <definedName name="tens" localSheetId="560">{"";"";"Twenty";"Thirty";"Forty";"Fifty";"Sixty";"Seventy";"Eighty";"Ninety"}</definedName>
    <definedName name="tens" localSheetId="557">{"";"";"Twenty";"Thirty";"Forty";"Fifty";"Sixty";"Seventy";"Eighty";"Ninety"}</definedName>
    <definedName name="tens" localSheetId="559">{"";"";"Twenty";"Thirty";"Forty";"Fifty";"Sixty";"Seventy";"Eighty";"Ninety"}</definedName>
    <definedName name="tens" localSheetId="561">{"";"";"Twenty";"Thirty";"Forty";"Fifty";"Sixty";"Seventy";"Eighty";"Ninety"}</definedName>
    <definedName name="tens" localSheetId="570">{"";"";"Twenty";"Thirty";"Forty";"Fifty";"Sixty";"Seventy";"Eighty";"Ninety"}</definedName>
    <definedName name="tens" localSheetId="569">{"";"";"Twenty";"Thirty";"Forty";"Fifty";"Sixty";"Seventy";"Eighty";"Ninety"}</definedName>
    <definedName name="tens" localSheetId="565">{"";"";"Twenty";"Thirty";"Forty";"Fifty";"Sixty";"Seventy";"Eighty";"Ninety"}</definedName>
    <definedName name="tens" localSheetId="566">{"";"";"Twenty";"Thirty";"Forty";"Fifty";"Sixty";"Seventy";"Eighty";"Ninety"}</definedName>
    <definedName name="tens" localSheetId="567">{"";"";"Twenty";"Thirty";"Forty";"Fifty";"Sixty";"Seventy";"Eighty";"Ninety"}</definedName>
    <definedName name="tens" localSheetId="571">{"";"";"Twenty";"Thirty";"Forty";"Fifty";"Sixty";"Seventy";"Eighty";"Ninety"}</definedName>
    <definedName name="tens" localSheetId="568">{"";"";"Twenty";"Thirty";"Forty";"Fifty";"Sixty";"Seventy";"Eighty";"Ninety"}</definedName>
    <definedName name="tens" localSheetId="576">{"";"";"Twenty";"Thirty";"Forty";"Fifty";"Sixty";"Seventy";"Eighty";"Ninety"}</definedName>
    <definedName name="tens" localSheetId="577">{"";"";"Twenty";"Thirty";"Forty";"Fifty";"Sixty";"Seventy";"Eighty";"Ninety"}</definedName>
    <definedName name="tens" localSheetId="578">{"";"";"Twenty";"Thirty";"Forty";"Fifty";"Sixty";"Seventy";"Eighty";"Ninety"}</definedName>
    <definedName name="tens" localSheetId="591">{"";"";"Twenty";"Thirty";"Forty";"Fifty";"Sixty";"Seventy";"Eighty";"Ninety"}</definedName>
    <definedName name="tens" localSheetId="580">{"";"";"Twenty";"Thirty";"Forty";"Fifty";"Sixty";"Seventy";"Eighty";"Ninety"}</definedName>
    <definedName name="tens" localSheetId="579">{"";"";"Twenty";"Thirty";"Forty";"Fifty";"Sixty";"Seventy";"Eighty";"Ninety"}</definedName>
    <definedName name="tens" localSheetId="586">{"";"";"Twenty";"Thirty";"Forty";"Fifty";"Sixty";"Seventy";"Eighty";"Ninety"}</definedName>
    <definedName name="tens" localSheetId="583">{"";"";"Twenty";"Thirty";"Forty";"Fifty";"Sixty";"Seventy";"Eighty";"Ninety"}</definedName>
    <definedName name="tens" localSheetId="584">{"";"";"Twenty";"Thirty";"Forty";"Fifty";"Sixty";"Seventy";"Eighty";"Ninety"}</definedName>
    <definedName name="tens" localSheetId="585">{"";"";"Twenty";"Thirty";"Forty";"Fifty";"Sixty";"Seventy";"Eighty";"Ninety"}</definedName>
    <definedName name="tens" localSheetId="588">{"";"";"Twenty";"Thirty";"Forty";"Fifty";"Sixty";"Seventy";"Eighty";"Ninety"}</definedName>
    <definedName name="tens" localSheetId="597">{"";"";"Twenty";"Thirty";"Forty";"Fifty";"Sixty";"Seventy";"Eighty";"Ninety"}</definedName>
    <definedName name="tens" localSheetId="599">{"";"";"Twenty";"Thirty";"Forty";"Fifty";"Sixty";"Seventy";"Eighty";"Ninety"}</definedName>
    <definedName name="tens" localSheetId="598">{"";"";"Twenty";"Thirty";"Forty";"Fifty";"Sixty";"Seventy";"Eighty";"Ninety"}</definedName>
    <definedName name="tens" localSheetId="608">{"";"";"Twenty";"Thirty";"Forty";"Fifty";"Sixty";"Seventy";"Eighty";"Ninety"}</definedName>
    <definedName name="tens" localSheetId="606">{"";"";"Twenty";"Thirty";"Forty";"Fifty";"Sixty";"Seventy";"Eighty";"Ninety"}</definedName>
    <definedName name="tens" localSheetId="604">{"";"";"Twenty";"Thirty";"Forty";"Fifty";"Sixty";"Seventy";"Eighty";"Ninety"}</definedName>
    <definedName name="tens" localSheetId="607">{"";"";"Twenty";"Thirty";"Forty";"Fifty";"Sixty";"Seventy";"Eighty";"Ninety"}</definedName>
    <definedName name="tens" localSheetId="614">{"";"";"Twenty";"Thirty";"Forty";"Fifty";"Sixty";"Seventy";"Eighty";"Ninety"}</definedName>
    <definedName name="tens" localSheetId="613">{"";"";"Twenty";"Thirty";"Forty";"Fifty";"Sixty";"Seventy";"Eighty";"Ninety"}</definedName>
    <definedName name="tens" localSheetId="603">{"";"";"Twenty";"Thirty";"Forty";"Fifty";"Sixty";"Seventy";"Eighty";"Ninety"}</definedName>
    <definedName name="tens" localSheetId="240">{"";"";"Twenty";"Thirty";"Forty";"Fifty";"Sixty";"Seventy";"Eighty";"Ninety"}</definedName>
    <definedName name="tens" localSheetId="600">{"";"";"Twenty";"Thirty";"Forty";"Fifty";"Sixty";"Seventy";"Eighty";"Ninety"}</definedName>
    <definedName name="tens" localSheetId="602">{"";"";"Twenty";"Thirty";"Forty";"Fifty";"Sixty";"Seventy";"Eighty";"Ninety"}</definedName>
    <definedName name="tens" localSheetId="617">{"";"";"Twenty";"Thirty";"Forty";"Fifty";"Sixty";"Seventy";"Eighty";"Ninety"}</definedName>
    <definedName name="tens" localSheetId="618">{"";"";"Twenty";"Thirty";"Forty";"Fifty";"Sixty";"Seventy";"Eighty";"Ninety"}</definedName>
    <definedName name="tens" localSheetId="610">{"";"";"Twenty";"Thirty";"Forty";"Fifty";"Sixty";"Seventy";"Eighty";"Ninety"}</definedName>
    <definedName name="tens" localSheetId="611">{"";"";"Twenty";"Thirty";"Forty";"Fifty";"Sixty";"Seventy";"Eighty";"Ninety"}</definedName>
    <definedName name="tens" localSheetId="605">{"";"";"Twenty";"Thirty";"Forty";"Fifty";"Sixty";"Seventy";"Eighty";"Ninety"}</definedName>
    <definedName name="tens" localSheetId="601">{"";"";"Twenty";"Thirty";"Forty";"Fifty";"Sixty";"Seventy";"Eighty";"Ninety"}</definedName>
    <definedName name="tens" localSheetId="626">{"";"";"Twenty";"Thirty";"Forty";"Fifty";"Sixty";"Seventy";"Eighty";"Ninety"}</definedName>
    <definedName name="tens" localSheetId="627">{"";"";"Twenty";"Thirty";"Forty";"Fifty";"Sixty";"Seventy";"Eighty";"Ninety"}</definedName>
    <definedName name="Z_6428A7A0_B31B_40C1_A13E_AD0DCC619E51_.wvu.PrintArea" localSheetId="260" hidden="1">Palita!$A$1:$H$53</definedName>
    <definedName name="Z_6428A7A0_B31B_40C1_A13E_AD0DCC619E51_.wvu.PrintArea" localSheetId="254" hidden="1">Perk!$A$1:$H$55</definedName>
    <definedName name="Z_6428A7A0_B31B_40C1_A13E_AD0DCC619E51_.wvu.PrintArea" localSheetId="259" hidden="1">'Philippines AA'!$A$1:$H$53</definedName>
    <definedName name="Z_6428A7A0_B31B_40C1_A13E_AD0DCC619E51_.wvu.PrintArea" localSheetId="278" hidden="1">Pixio!$A$1:$H$56</definedName>
    <definedName name="Z_6428A7A0_B31B_40C1_A13E_AD0DCC619E51_.wvu.PrintArea" localSheetId="30" hidden="1">Spafax!$A$1:$H$53</definedName>
    <definedName name="Z_6428A7A0_B31B_40C1_A13E_AD0DCC619E51_.wvu.PrintArea" localSheetId="507" hidden="1">'Tan Chong'!$A$1:$H$57</definedName>
    <definedName name="Z_6428A7A0_B31B_40C1_A13E_AD0DCC619E51_.wvu.PrintArea" localSheetId="86" hidden="1">'The Spring'!$A$1:$H$53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0" i="397" l="1"/>
  <c r="H20" i="659" l="1"/>
  <c r="H34" i="659" s="1"/>
  <c r="B36" i="659" s="1"/>
  <c r="H22" i="165"/>
  <c r="H21" i="165"/>
  <c r="H21" i="530" l="1"/>
  <c r="H24" i="255" l="1"/>
  <c r="H21" i="658" l="1"/>
  <c r="H34" i="658" s="1"/>
  <c r="H20" i="586" l="1"/>
  <c r="H36" i="397" l="1"/>
  <c r="H23" i="657"/>
  <c r="H38" i="657" s="1"/>
  <c r="B40" i="657" s="1"/>
  <c r="Z11" i="416"/>
  <c r="H20" i="485" l="1"/>
  <c r="H35" i="656" l="1"/>
  <c r="B37" i="656" s="1"/>
  <c r="P29" i="656"/>
  <c r="Q23" i="656"/>
  <c r="H35" i="532" l="1"/>
  <c r="H20" i="655" l="1"/>
  <c r="H36" i="655" s="1"/>
  <c r="B38" i="655" s="1"/>
  <c r="Q25" i="655"/>
  <c r="Q18" i="655"/>
  <c r="Q20" i="655" s="1"/>
  <c r="P13" i="655"/>
  <c r="P29" i="532"/>
  <c r="H22" i="416" l="1"/>
  <c r="S43" i="416"/>
  <c r="S40" i="416"/>
  <c r="T11" i="416"/>
  <c r="H35" i="654" l="1"/>
  <c r="B37" i="654" s="1"/>
  <c r="H28" i="653" l="1"/>
  <c r="H27" i="653"/>
  <c r="H25" i="653"/>
  <c r="H24" i="653"/>
  <c r="H22" i="653"/>
  <c r="H21" i="653"/>
  <c r="O29" i="653"/>
  <c r="O26" i="653"/>
  <c r="O19" i="653"/>
  <c r="O15" i="653"/>
  <c r="H35" i="653" l="1"/>
  <c r="B37" i="653" s="1"/>
  <c r="H33" i="652" l="1"/>
  <c r="B35" i="652" s="1"/>
  <c r="H33" i="651"/>
  <c r="B35" i="651" s="1"/>
  <c r="H20" i="608" l="1"/>
  <c r="Q23" i="532" l="1"/>
  <c r="H20" i="280"/>
  <c r="H23" i="33"/>
  <c r="H20" i="33"/>
  <c r="H35" i="339" l="1"/>
  <c r="Q17" i="33" l="1"/>
  <c r="H34" i="650" l="1"/>
  <c r="B36" i="650" s="1"/>
  <c r="M24" i="649" l="1"/>
  <c r="H37" i="649"/>
  <c r="B39" i="649" s="1"/>
  <c r="H35" i="165" l="1"/>
  <c r="H20" i="443"/>
  <c r="H20" i="169"/>
  <c r="H21" i="648"/>
  <c r="H37" i="648" s="1"/>
  <c r="B39" i="648" s="1"/>
  <c r="H36" i="394"/>
  <c r="H23" i="647" l="1"/>
  <c r="H22" i="647"/>
  <c r="H21" i="647"/>
  <c r="H34" i="647" l="1"/>
  <c r="B36" i="647" s="1"/>
  <c r="J20" i="647"/>
  <c r="N19" i="647"/>
  <c r="H34" i="646"/>
  <c r="B36" i="646" s="1"/>
  <c r="J20" i="646"/>
  <c r="N19" i="646"/>
  <c r="H21" i="519" l="1"/>
  <c r="H23" i="644"/>
  <c r="H22" i="644"/>
  <c r="H20" i="337" l="1"/>
  <c r="H33" i="645" l="1"/>
  <c r="B35" i="645" s="1"/>
  <c r="O20" i="645"/>
  <c r="H23" i="576"/>
  <c r="H22" i="576"/>
  <c r="H36" i="644" l="1"/>
  <c r="B38" i="644" s="1"/>
  <c r="H23" i="643" l="1"/>
  <c r="H22" i="643"/>
  <c r="H21" i="643"/>
  <c r="H20" i="643"/>
  <c r="H24" i="643" l="1"/>
  <c r="H35" i="643" s="1"/>
  <c r="B37" i="643" s="1"/>
  <c r="H20" i="625" l="1"/>
  <c r="H32" i="642" l="1"/>
  <c r="B34" i="642" s="1"/>
  <c r="H33" i="641"/>
  <c r="B35" i="641" s="1"/>
  <c r="H34" i="595" l="1"/>
  <c r="H36" i="640" l="1"/>
  <c r="B38" i="640" s="1"/>
  <c r="H33" i="195" l="1"/>
  <c r="H21" i="158" l="1"/>
  <c r="H20" i="158"/>
  <c r="H37" i="143" l="1"/>
  <c r="H20" i="562"/>
  <c r="H34" i="562" s="1"/>
  <c r="H26" i="428" l="1"/>
  <c r="H21" i="615" l="1"/>
  <c r="Q27" i="639"/>
  <c r="H34" i="639"/>
  <c r="B36" i="639" s="1"/>
  <c r="Q18" i="639"/>
  <c r="Q20" i="639" s="1"/>
  <c r="P13" i="639"/>
  <c r="H35" i="186"/>
  <c r="H20" i="638" l="1"/>
  <c r="O13" i="592" l="1"/>
  <c r="O14" i="592" s="1"/>
  <c r="S111" i="416"/>
  <c r="S106" i="416"/>
  <c r="R78" i="416"/>
  <c r="X74" i="416"/>
  <c r="R72" i="416"/>
  <c r="X70" i="416"/>
  <c r="R67" i="416"/>
  <c r="X66" i="416"/>
  <c r="R63" i="416"/>
  <c r="R54" i="416"/>
  <c r="R50" i="416"/>
  <c r="R47" i="416"/>
  <c r="S37" i="416"/>
  <c r="S33" i="416"/>
  <c r="H36" i="416" l="1"/>
  <c r="B38" i="416" s="1"/>
  <c r="H35" i="638"/>
  <c r="B37" i="638" s="1"/>
  <c r="H36" i="637" l="1"/>
  <c r="B38" i="637" s="1"/>
  <c r="H20" i="464" l="1"/>
  <c r="H20" i="636" l="1"/>
  <c r="H36" i="636" s="1"/>
  <c r="B38" i="636" s="1"/>
  <c r="O38" i="636"/>
  <c r="O35" i="636"/>
  <c r="R31" i="636"/>
  <c r="R29" i="636"/>
  <c r="O27" i="636"/>
  <c r="O24" i="636"/>
  <c r="O19" i="636"/>
  <c r="O15" i="636"/>
  <c r="O3" i="636"/>
  <c r="N43" i="337"/>
  <c r="K11" i="337"/>
  <c r="H20" i="629"/>
  <c r="R27" i="635"/>
  <c r="R26" i="635"/>
  <c r="M24" i="635"/>
  <c r="H23" i="635"/>
  <c r="H24" i="635" s="1"/>
  <c r="M21" i="635"/>
  <c r="H20" i="635"/>
  <c r="H21" i="635" s="1"/>
  <c r="P17" i="635"/>
  <c r="P16" i="635"/>
  <c r="P14" i="635"/>
  <c r="P18" i="635" l="1"/>
  <c r="H36" i="635"/>
  <c r="B38" i="635" s="1"/>
  <c r="H35" i="634" l="1"/>
  <c r="B37" i="634" s="1"/>
  <c r="N23" i="634"/>
  <c r="N21" i="634"/>
  <c r="H20" i="630" l="1"/>
  <c r="R11" i="386" l="1"/>
  <c r="J20" i="397" l="1"/>
  <c r="H34" i="633"/>
  <c r="B36" i="633" s="1"/>
  <c r="H23" i="617" l="1"/>
  <c r="H20" i="617"/>
  <c r="O29" i="617"/>
  <c r="H20" i="632" l="1"/>
  <c r="H37" i="632" s="1"/>
  <c r="B39" i="632" s="1"/>
  <c r="Q25" i="255"/>
  <c r="Q18" i="255"/>
  <c r="Q20" i="255" s="1"/>
  <c r="H23" i="374" l="1"/>
  <c r="H22" i="374"/>
  <c r="H21" i="374"/>
  <c r="H35" i="631" l="1"/>
  <c r="B37" i="631" s="1"/>
  <c r="H36" i="208" l="1"/>
  <c r="H23" i="177"/>
  <c r="H22" i="177"/>
  <c r="H21" i="177"/>
  <c r="H20" i="177"/>
  <c r="H34" i="630"/>
  <c r="B36" i="630" s="1"/>
  <c r="P20" i="630"/>
  <c r="P18" i="630"/>
  <c r="P15" i="630"/>
  <c r="P13" i="630"/>
  <c r="H35" i="629"/>
  <c r="B37" i="629" s="1"/>
  <c r="H20" i="535"/>
  <c r="H36" i="628" l="1"/>
  <c r="B38" i="628" s="1"/>
  <c r="H20" i="620" l="1"/>
  <c r="H20" i="214"/>
  <c r="N28" i="337"/>
  <c r="H20" i="627"/>
  <c r="H35" i="627" s="1"/>
  <c r="B37" i="627" s="1"/>
  <c r="J25" i="627"/>
  <c r="O15" i="627"/>
  <c r="O14" i="627"/>
  <c r="O13" i="627"/>
  <c r="H20" i="626" l="1"/>
  <c r="I20" i="626"/>
  <c r="O39" i="626"/>
  <c r="O36" i="626"/>
  <c r="H34" i="626"/>
  <c r="B36" i="626" s="1"/>
  <c r="R32" i="626"/>
  <c r="R30" i="626"/>
  <c r="O28" i="626"/>
  <c r="O25" i="626"/>
  <c r="Q20" i="626"/>
  <c r="O19" i="626"/>
  <c r="O15" i="626"/>
  <c r="P11" i="626"/>
  <c r="O3" i="626"/>
  <c r="H35" i="625"/>
  <c r="B37" i="625" s="1"/>
  <c r="Q20" i="625"/>
  <c r="P11" i="625"/>
  <c r="O40" i="625"/>
  <c r="O37" i="625"/>
  <c r="R33" i="625"/>
  <c r="R31" i="625"/>
  <c r="O29" i="625"/>
  <c r="O25" i="625"/>
  <c r="O19" i="625"/>
  <c r="O15" i="625"/>
  <c r="O3" i="625"/>
  <c r="H32" i="503" l="1"/>
  <c r="H36" i="624"/>
  <c r="B38" i="624" s="1"/>
  <c r="H36" i="623" l="1"/>
  <c r="B38" i="623" s="1"/>
  <c r="H37" i="293" l="1"/>
  <c r="H34" i="446"/>
  <c r="H35" i="98" l="1"/>
  <c r="H21" i="622" l="1"/>
  <c r="H35" i="622" s="1"/>
  <c r="B37" i="622" s="1"/>
  <c r="H34" i="621" l="1"/>
  <c r="B36" i="621" s="1"/>
  <c r="H33" i="77" l="1"/>
  <c r="H30" i="77"/>
  <c r="O21" i="617"/>
  <c r="O15" i="617"/>
  <c r="H36" i="620"/>
  <c r="B38" i="620" s="1"/>
  <c r="H21" i="479"/>
  <c r="H35" i="77" l="1"/>
  <c r="H23" i="618" l="1"/>
  <c r="H24" i="618" s="1"/>
  <c r="H20" i="618"/>
  <c r="H21" i="618" s="1"/>
  <c r="H34" i="619"/>
  <c r="B36" i="619" s="1"/>
  <c r="N19" i="619"/>
  <c r="H36" i="239"/>
  <c r="R27" i="618" l="1"/>
  <c r="R26" i="618"/>
  <c r="M24" i="618"/>
  <c r="M21" i="618"/>
  <c r="P17" i="618"/>
  <c r="P16" i="618"/>
  <c r="P14" i="618"/>
  <c r="P18" i="618" l="1"/>
  <c r="H36" i="618"/>
  <c r="B38" i="618" s="1"/>
  <c r="H34" i="308"/>
  <c r="K20" i="280"/>
  <c r="L20" i="280" s="1"/>
  <c r="L21" i="280" l="1"/>
  <c r="L22" i="280" s="1"/>
  <c r="H21" i="473" l="1"/>
  <c r="H35" i="617" l="1"/>
  <c r="B37" i="617" s="1"/>
  <c r="H35" i="616" l="1"/>
  <c r="B37" i="616" s="1"/>
  <c r="H35" i="255" l="1"/>
  <c r="H35" i="615" l="1"/>
  <c r="B37" i="615" s="1"/>
  <c r="H35" i="614"/>
  <c r="B37" i="614" s="1"/>
  <c r="H37" i="613" l="1"/>
  <c r="B39" i="613" s="1"/>
  <c r="R35" i="613"/>
  <c r="R32" i="613"/>
  <c r="O28" i="613"/>
  <c r="O25" i="613"/>
  <c r="O19" i="613"/>
  <c r="O15" i="613"/>
  <c r="O3" i="613"/>
  <c r="H35" i="612"/>
  <c r="H22" i="611"/>
  <c r="H21" i="611"/>
  <c r="H20" i="611"/>
  <c r="H34" i="611" l="1"/>
  <c r="B36" i="611" s="1"/>
  <c r="B37" i="612"/>
  <c r="H20" i="315"/>
  <c r="Q7" i="608" l="1"/>
  <c r="H35" i="608" l="1"/>
  <c r="H22" i="381"/>
  <c r="H21" i="409"/>
  <c r="H21" i="610" l="1"/>
  <c r="H37" i="610" s="1"/>
  <c r="B39" i="610" s="1"/>
  <c r="H21" i="609" l="1"/>
  <c r="H35" i="609" s="1"/>
  <c r="B37" i="609" s="1"/>
  <c r="B37" i="608" l="1"/>
  <c r="H33" i="602" l="1"/>
  <c r="H35" i="607"/>
  <c r="B37" i="607" s="1"/>
  <c r="H24" i="606" l="1"/>
  <c r="H21" i="606"/>
  <c r="H36" i="605"/>
  <c r="B38" i="605" s="1"/>
  <c r="H35" i="606" l="1"/>
  <c r="B37" i="606" s="1"/>
  <c r="H21" i="604" l="1"/>
  <c r="H36" i="604" l="1"/>
  <c r="B38" i="604" s="1"/>
  <c r="H36" i="603"/>
  <c r="B38" i="603" s="1"/>
  <c r="H29" i="590" l="1"/>
  <c r="H28" i="590"/>
  <c r="H23" i="590"/>
  <c r="H22" i="590"/>
  <c r="H21" i="590"/>
  <c r="N16" i="214"/>
  <c r="H30" i="590" l="1"/>
  <c r="H35" i="590" s="1"/>
  <c r="H20" i="537"/>
  <c r="B35" i="602"/>
  <c r="H36" i="360" l="1"/>
  <c r="H35" i="601"/>
  <c r="B37" i="601" s="1"/>
  <c r="H37" i="600" l="1"/>
  <c r="B39" i="600" s="1"/>
  <c r="H34" i="386"/>
  <c r="H34" i="182"/>
  <c r="H36" i="599"/>
  <c r="B38" i="599" s="1"/>
  <c r="H35" i="598" l="1"/>
  <c r="B37" i="598" s="1"/>
  <c r="H36" i="302" l="1"/>
  <c r="H33" i="597" l="1"/>
  <c r="B35" i="597" s="1"/>
  <c r="H34" i="596"/>
  <c r="B36" i="596" s="1"/>
  <c r="B36" i="595" l="1"/>
  <c r="H35" i="594"/>
  <c r="B37" i="594" s="1"/>
  <c r="H36" i="409" l="1"/>
  <c r="M24" i="409"/>
  <c r="M21" i="409"/>
  <c r="H35" i="593"/>
  <c r="B37" i="593" s="1"/>
  <c r="H32" i="189" l="1"/>
  <c r="H35" i="589"/>
  <c r="H21" i="592" l="1"/>
  <c r="H34" i="592" s="1"/>
  <c r="B36" i="592" l="1"/>
  <c r="H22" i="385" l="1"/>
  <c r="H21" i="385"/>
  <c r="H32" i="591"/>
  <c r="B34" i="591" s="1"/>
  <c r="H20" i="512" l="1"/>
  <c r="B37" i="590" l="1"/>
  <c r="H21" i="517"/>
  <c r="H22" i="517" s="1"/>
  <c r="H24" i="517"/>
  <c r="H33" i="315" l="1"/>
  <c r="H20" i="570"/>
  <c r="H35" i="570" s="1"/>
  <c r="H20" i="587"/>
  <c r="H35" i="504" l="1"/>
  <c r="H20" i="563" l="1"/>
  <c r="H20" i="388"/>
  <c r="R27" i="409" l="1"/>
  <c r="R26" i="409"/>
  <c r="B37" i="589" l="1"/>
  <c r="H20" i="588" l="1"/>
  <c r="H34" i="588" s="1"/>
  <c r="B36" i="588" s="1"/>
  <c r="P17" i="588"/>
  <c r="P16" i="588"/>
  <c r="P14" i="588"/>
  <c r="H36" i="587"/>
  <c r="B38" i="587" s="1"/>
  <c r="P17" i="587"/>
  <c r="P16" i="587"/>
  <c r="P14" i="587"/>
  <c r="P18" i="587" l="1"/>
  <c r="P18" i="588"/>
  <c r="B37" i="165"/>
  <c r="H36" i="586"/>
  <c r="B38" i="586" s="1"/>
  <c r="H21" i="585" l="1"/>
  <c r="H37" i="585" s="1"/>
  <c r="B39" i="585" s="1"/>
  <c r="H21" i="584"/>
  <c r="H37" i="584" s="1"/>
  <c r="B39" i="584" s="1"/>
  <c r="O28" i="583"/>
  <c r="H27" i="583"/>
  <c r="O25" i="583"/>
  <c r="H24" i="583"/>
  <c r="H20" i="583"/>
  <c r="O19" i="583"/>
  <c r="O15" i="583"/>
  <c r="H21" i="582"/>
  <c r="H36" i="582" s="1"/>
  <c r="B38" i="582" s="1"/>
  <c r="H37" i="583" l="1"/>
  <c r="B39" i="583" s="1"/>
  <c r="H35" i="581"/>
  <c r="B37" i="581" s="1"/>
  <c r="H38" i="580" l="1"/>
  <c r="B40" i="580" s="1"/>
  <c r="H36" i="530" l="1"/>
  <c r="F20" i="529" l="1"/>
  <c r="H36" i="424"/>
  <c r="F34" i="579"/>
  <c r="B36" i="579" s="1"/>
  <c r="G24" i="578" l="1"/>
  <c r="G23" i="578"/>
  <c r="G22" i="578"/>
  <c r="G21" i="578"/>
  <c r="G20" i="578"/>
  <c r="G25" i="578"/>
  <c r="G21" i="577"/>
  <c r="G20" i="577"/>
  <c r="G35" i="578" l="1"/>
  <c r="B37" i="578" s="1"/>
  <c r="G35" i="577"/>
  <c r="B37" i="577" s="1"/>
  <c r="H20" i="482"/>
  <c r="H36" i="576" l="1"/>
  <c r="B38" i="576" s="1"/>
  <c r="P13" i="255" l="1"/>
  <c r="R128" i="386"/>
  <c r="H35" i="575"/>
  <c r="B37" i="575" s="1"/>
  <c r="H20" i="481" l="1"/>
  <c r="H23" i="574" l="1"/>
  <c r="H22" i="574"/>
  <c r="H21" i="574"/>
  <c r="H20" i="574"/>
  <c r="H34" i="574" l="1"/>
  <c r="B36" i="574" s="1"/>
  <c r="K20" i="551" l="1"/>
  <c r="K21" i="551" s="1"/>
  <c r="H21" i="481" l="1"/>
  <c r="F34" i="573" l="1"/>
  <c r="B36" i="573" s="1"/>
  <c r="F33" i="572" l="1"/>
  <c r="B35" i="572" s="1"/>
  <c r="F33" i="571"/>
  <c r="B35" i="571" s="1"/>
  <c r="B37" i="570" l="1"/>
  <c r="O28" i="570"/>
  <c r="O25" i="570"/>
  <c r="O19" i="570"/>
  <c r="O15" i="570"/>
  <c r="H19" i="201" l="1"/>
  <c r="H21" i="378" l="1"/>
  <c r="J25" i="567" l="1"/>
  <c r="H35" i="569" l="1"/>
  <c r="B37" i="569" s="1"/>
  <c r="H34" i="374" l="1"/>
  <c r="H37" i="567" l="1"/>
  <c r="B39" i="567" s="1"/>
  <c r="F21" i="566"/>
  <c r="F35" i="566" s="1"/>
  <c r="B37" i="566" s="1"/>
  <c r="P70" i="566"/>
  <c r="P64" i="566"/>
  <c r="P59" i="566"/>
  <c r="P55" i="566"/>
  <c r="P46" i="566"/>
  <c r="P42" i="566"/>
  <c r="P39" i="566"/>
  <c r="P35" i="566"/>
  <c r="P31" i="566"/>
  <c r="P70" i="565"/>
  <c r="P64" i="565"/>
  <c r="P59" i="565"/>
  <c r="P55" i="565"/>
  <c r="P46" i="565"/>
  <c r="P42" i="565"/>
  <c r="P39" i="565"/>
  <c r="P35" i="565"/>
  <c r="F35" i="565"/>
  <c r="B37" i="565" s="1"/>
  <c r="P31" i="565"/>
  <c r="H20" i="564" l="1"/>
  <c r="H35" i="564" s="1"/>
  <c r="B37" i="564" s="1"/>
  <c r="O28" i="564"/>
  <c r="O25" i="564"/>
  <c r="O19" i="564"/>
  <c r="O15" i="564"/>
  <c r="H35" i="563"/>
  <c r="B37" i="563" s="1"/>
  <c r="O28" i="563"/>
  <c r="O25" i="563"/>
  <c r="O19" i="563"/>
  <c r="O15" i="563"/>
  <c r="H33" i="177" l="1"/>
  <c r="S15" i="562" l="1"/>
  <c r="S18" i="562"/>
  <c r="H20" i="561"/>
  <c r="H35" i="561" s="1"/>
  <c r="B37" i="561" s="1"/>
  <c r="B36" i="562" l="1"/>
  <c r="H20" i="559" l="1"/>
  <c r="H35" i="559" s="1"/>
  <c r="B37" i="559" s="1"/>
  <c r="O28" i="559"/>
  <c r="O25" i="559"/>
  <c r="O19" i="559"/>
  <c r="O15" i="559"/>
  <c r="H20" i="558"/>
  <c r="H35" i="558" s="1"/>
  <c r="B37" i="558" s="1"/>
  <c r="O28" i="558"/>
  <c r="O25" i="558"/>
  <c r="O19" i="558"/>
  <c r="O15" i="558"/>
  <c r="F20" i="36" l="1"/>
  <c r="H34" i="402"/>
  <c r="H35" i="557" l="1"/>
  <c r="B37" i="557" s="1"/>
  <c r="H22" i="556"/>
  <c r="H21" i="556"/>
  <c r="H20" i="556"/>
  <c r="O28" i="556"/>
  <c r="O25" i="556"/>
  <c r="O19" i="556"/>
  <c r="O15" i="556"/>
  <c r="H20" i="555"/>
  <c r="H35" i="555" s="1"/>
  <c r="B37" i="555" s="1"/>
  <c r="O28" i="555"/>
  <c r="O25" i="555"/>
  <c r="O19" i="555"/>
  <c r="O15" i="555"/>
  <c r="H35" i="556" l="1"/>
  <c r="B37" i="556" s="1"/>
  <c r="H31" i="546" l="1"/>
  <c r="H34" i="546" s="1"/>
  <c r="H35" i="554" l="1"/>
  <c r="B37" i="554" s="1"/>
  <c r="H24" i="257" l="1"/>
  <c r="F36" i="553" l="1"/>
  <c r="B38" i="553" s="1"/>
  <c r="F35" i="552" l="1"/>
  <c r="B37" i="552" s="1"/>
  <c r="H35" i="508"/>
  <c r="F23" i="550"/>
  <c r="F39" i="550" s="1"/>
  <c r="B41" i="550" s="1"/>
  <c r="F35" i="551" l="1"/>
  <c r="B37" i="551" s="1"/>
  <c r="H20" i="549"/>
  <c r="H35" i="549" s="1"/>
  <c r="B37" i="549" s="1"/>
  <c r="N15" i="549"/>
  <c r="H20" i="548"/>
  <c r="H35" i="548" s="1"/>
  <c r="B37" i="548" s="1"/>
  <c r="N15" i="548"/>
  <c r="H20" i="547"/>
  <c r="H35" i="547" s="1"/>
  <c r="B37" i="547" s="1"/>
  <c r="N15" i="547"/>
  <c r="B36" i="546" l="1"/>
  <c r="N15" i="546"/>
  <c r="H33" i="545" l="1"/>
  <c r="B35" i="545" s="1"/>
  <c r="H23" i="544" l="1"/>
  <c r="H20" i="544"/>
  <c r="H35" i="544" l="1"/>
  <c r="B37" i="544" s="1"/>
  <c r="H36" i="512" l="1"/>
  <c r="H20" i="525" l="1"/>
  <c r="H20" i="543" l="1"/>
  <c r="H35" i="543" s="1"/>
  <c r="B37" i="543" s="1"/>
  <c r="H22" i="196" l="1"/>
  <c r="F35" i="542" l="1"/>
  <c r="B37" i="542" s="1"/>
  <c r="F23" i="142" l="1"/>
  <c r="H35" i="381" l="1"/>
  <c r="H37" i="385"/>
  <c r="H20" i="541"/>
  <c r="H43" i="541" s="1"/>
  <c r="B45" i="541" s="1"/>
  <c r="U49" i="541"/>
  <c r="U47" i="541"/>
  <c r="U30" i="541"/>
  <c r="H34" i="371" l="1"/>
  <c r="B36" i="371" s="1"/>
  <c r="H32" i="290"/>
  <c r="H21" i="433" l="1"/>
  <c r="H33" i="433" s="1"/>
  <c r="F35" i="540" l="1"/>
  <c r="B37" i="540" s="1"/>
  <c r="F36" i="539" l="1"/>
  <c r="B38" i="539" s="1"/>
  <c r="H35" i="537" l="1"/>
  <c r="B37" i="537" s="1"/>
  <c r="H20" i="536" l="1"/>
  <c r="H24" i="323"/>
  <c r="H23" i="323"/>
  <c r="H22" i="323"/>
  <c r="H33" i="536" l="1"/>
  <c r="B35" i="536" s="1"/>
  <c r="H21" i="323"/>
  <c r="H20" i="323"/>
  <c r="H35" i="323" l="1"/>
  <c r="H35" i="535" l="1"/>
  <c r="B37" i="535" s="1"/>
  <c r="H35" i="373" l="1"/>
  <c r="F36" i="534" l="1"/>
  <c r="B38" i="534" s="1"/>
  <c r="L24" i="337" l="1"/>
  <c r="K15" i="337"/>
  <c r="L23" i="337"/>
  <c r="L22" i="337"/>
  <c r="L21" i="337"/>
  <c r="L20" i="337"/>
  <c r="J15" i="337"/>
  <c r="H20" i="533"/>
  <c r="H33" i="533" s="1"/>
  <c r="B35" i="533" s="1"/>
  <c r="B37" i="532" l="1"/>
  <c r="F40" i="531"/>
  <c r="B42" i="531" s="1"/>
  <c r="R49" i="386" l="1"/>
  <c r="H20" i="527" l="1"/>
  <c r="F21" i="455" l="1"/>
  <c r="B38" i="530"/>
  <c r="F35" i="529" l="1"/>
  <c r="B37" i="529" s="1"/>
  <c r="H24" i="528" l="1"/>
  <c r="H20" i="528"/>
  <c r="H35" i="528" l="1"/>
  <c r="B37" i="528" s="1"/>
  <c r="B38" i="397" l="1"/>
  <c r="H20" i="367" l="1"/>
  <c r="H33" i="201"/>
  <c r="B35" i="201" s="1"/>
  <c r="H35" i="527" l="1"/>
  <c r="B37" i="527" s="1"/>
  <c r="N15" i="385"/>
  <c r="F20" i="411" l="1"/>
  <c r="F24" i="411" s="1"/>
  <c r="H20" i="526" l="1"/>
  <c r="H33" i="526" s="1"/>
  <c r="B35" i="526" s="1"/>
  <c r="H33" i="525" l="1"/>
  <c r="B35" i="525" s="1"/>
  <c r="F35" i="455" l="1"/>
  <c r="F21" i="438"/>
  <c r="F20" i="365" l="1"/>
  <c r="F21" i="365" s="1"/>
  <c r="H36" i="524" l="1"/>
  <c r="B38" i="524" s="1"/>
  <c r="F20" i="307"/>
  <c r="F21" i="307" s="1"/>
  <c r="H46" i="523" l="1"/>
  <c r="B48" i="523" s="1"/>
  <c r="P17" i="409"/>
  <c r="P16" i="409"/>
  <c r="P14" i="409"/>
  <c r="P18" i="409" l="1"/>
  <c r="F35" i="522"/>
  <c r="B37" i="522" s="1"/>
  <c r="F36" i="521" l="1"/>
  <c r="B38" i="521" s="1"/>
  <c r="H21" i="520" l="1"/>
  <c r="H33" i="520" s="1"/>
  <c r="B35" i="520" s="1"/>
  <c r="R38" i="386" l="1"/>
  <c r="R55" i="519"/>
  <c r="R46" i="519"/>
  <c r="R42" i="519"/>
  <c r="R39" i="519"/>
  <c r="R35" i="519"/>
  <c r="H35" i="519"/>
  <c r="B37" i="519" s="1"/>
  <c r="R29" i="519"/>
  <c r="H20" i="429" l="1"/>
  <c r="F35" i="518"/>
  <c r="B37" i="518" s="1"/>
  <c r="H35" i="158"/>
  <c r="H28" i="475"/>
  <c r="H25" i="475"/>
  <c r="H24" i="475"/>
  <c r="H23" i="475"/>
  <c r="H20" i="475"/>
  <c r="H22" i="475"/>
  <c r="H21" i="475"/>
  <c r="H19" i="475"/>
  <c r="H38" i="517" l="1"/>
  <c r="B40" i="517" s="1"/>
  <c r="H21" i="516" l="1"/>
  <c r="H20" i="516"/>
  <c r="H21" i="515"/>
  <c r="H20" i="515"/>
  <c r="H35" i="516" l="1"/>
  <c r="B37" i="516" s="1"/>
  <c r="H35" i="515"/>
  <c r="B37" i="515" s="1"/>
  <c r="H35" i="481"/>
  <c r="H33" i="514" l="1"/>
  <c r="B35" i="514" s="1"/>
  <c r="H20" i="387" l="1"/>
  <c r="F22" i="422" l="1"/>
  <c r="B38" i="512" l="1"/>
  <c r="F21" i="263"/>
  <c r="P25" i="77" l="1"/>
  <c r="P18" i="77"/>
  <c r="H33" i="172" l="1"/>
  <c r="H36" i="510"/>
  <c r="B38" i="510" s="1"/>
  <c r="F36" i="511" l="1"/>
  <c r="B38" i="511" s="1"/>
  <c r="F38" i="509"/>
  <c r="B40" i="509" s="1"/>
  <c r="F21" i="157" l="1"/>
  <c r="F22" i="157" l="1"/>
  <c r="F23" i="157" s="1"/>
  <c r="B37" i="508" l="1"/>
  <c r="F20" i="507" l="1"/>
  <c r="F35" i="507" s="1"/>
  <c r="B37" i="507" s="1"/>
  <c r="H26" i="506" l="1"/>
  <c r="H20" i="506"/>
  <c r="H29" i="296"/>
  <c r="H24" i="296"/>
  <c r="H23" i="296"/>
  <c r="H22" i="296"/>
  <c r="H21" i="296"/>
  <c r="H20" i="296"/>
  <c r="H33" i="296" l="1"/>
  <c r="H35" i="506"/>
  <c r="B37" i="506" s="1"/>
  <c r="F39" i="505"/>
  <c r="B41" i="505" s="1"/>
  <c r="M21" i="381"/>
  <c r="M23" i="381" s="1"/>
  <c r="M17" i="381"/>
  <c r="M19" i="381" s="1"/>
  <c r="B37" i="504" l="1"/>
  <c r="B34" i="503" l="1"/>
  <c r="R36" i="386"/>
  <c r="R28" i="386"/>
  <c r="R32" i="386" s="1"/>
  <c r="F21" i="314" l="1"/>
  <c r="F34" i="502"/>
  <c r="B36" i="502" s="1"/>
  <c r="F24" i="501" l="1"/>
  <c r="F21" i="501"/>
  <c r="F33" i="501" l="1"/>
  <c r="B35" i="501" s="1"/>
  <c r="H26" i="500"/>
  <c r="H20" i="500"/>
  <c r="H46" i="500" l="1"/>
  <c r="B48" i="500" s="1"/>
  <c r="R17" i="386"/>
  <c r="R21" i="386" s="1"/>
  <c r="F20" i="499"/>
  <c r="F35" i="499" l="1"/>
  <c r="B37" i="499" s="1"/>
  <c r="R55" i="290" l="1"/>
  <c r="H24" i="497" l="1"/>
  <c r="H21" i="497"/>
  <c r="H33" i="497" l="1"/>
  <c r="H20" i="498"/>
  <c r="H35" i="498" l="1"/>
  <c r="B37" i="498" s="1"/>
  <c r="B35" i="497" l="1"/>
  <c r="H27" i="489" l="1"/>
  <c r="H21" i="496" l="1"/>
  <c r="H38" i="496" s="1"/>
  <c r="B40" i="496" s="1"/>
  <c r="H21" i="463" l="1"/>
  <c r="H29" i="463"/>
  <c r="H28" i="463"/>
  <c r="H27" i="463"/>
  <c r="H26" i="463"/>
  <c r="H25" i="463"/>
  <c r="H24" i="463"/>
  <c r="H23" i="463"/>
  <c r="H22" i="463"/>
  <c r="H20" i="463"/>
  <c r="H34" i="463" l="1"/>
  <c r="H29" i="469"/>
  <c r="H22" i="93" l="1"/>
  <c r="U49" i="337" l="1"/>
  <c r="U47" i="337"/>
  <c r="U30" i="337"/>
  <c r="G20" i="448"/>
  <c r="G34" i="448" s="1"/>
  <c r="H43" i="337" l="1"/>
  <c r="B38" i="409"/>
  <c r="H20" i="445" l="1"/>
  <c r="F22" i="495" l="1"/>
  <c r="F20" i="495"/>
  <c r="F35" i="495" l="1"/>
  <c r="B37" i="495" s="1"/>
  <c r="H20" i="494" l="1"/>
  <c r="H34" i="494" s="1"/>
  <c r="B36" i="494" s="1"/>
  <c r="F20" i="222" l="1"/>
  <c r="F21" i="222" s="1"/>
  <c r="F33" i="222" s="1"/>
  <c r="B35" i="222" s="1"/>
  <c r="H38" i="493"/>
  <c r="B40" i="493" s="1"/>
  <c r="F20" i="400"/>
  <c r="F21" i="400" s="1"/>
  <c r="H33" i="492" l="1"/>
  <c r="B35" i="492" s="1"/>
  <c r="F20" i="346" l="1"/>
  <c r="H21" i="491" l="1"/>
  <c r="H36" i="491" s="1"/>
  <c r="B38" i="491" s="1"/>
  <c r="H20" i="249" l="1"/>
  <c r="H24" i="249" s="1"/>
  <c r="F22" i="318"/>
  <c r="H22" i="490"/>
  <c r="H20" i="490"/>
  <c r="H24" i="490" l="1"/>
  <c r="H33" i="490" s="1"/>
  <c r="B35" i="490" s="1"/>
  <c r="H36" i="489"/>
  <c r="B38" i="489" s="1"/>
  <c r="F36" i="488"/>
  <c r="B38" i="488" s="1"/>
  <c r="H22" i="487" l="1"/>
  <c r="H21" i="487"/>
  <c r="H20" i="487"/>
  <c r="H36" i="487" l="1"/>
  <c r="B38" i="487" s="1"/>
  <c r="H20" i="478"/>
  <c r="H33" i="486" l="1"/>
  <c r="H22" i="485" l="1"/>
  <c r="H36" i="485" s="1"/>
  <c r="B38" i="485" l="1"/>
  <c r="H20" i="484"/>
  <c r="H35" i="484" l="1"/>
  <c r="B37" i="484" s="1"/>
  <c r="H20" i="483"/>
  <c r="H28" i="483"/>
  <c r="H23" i="483"/>
  <c r="H34" i="482"/>
  <c r="B36" i="482" s="1"/>
  <c r="H20" i="480"/>
  <c r="H35" i="480" s="1"/>
  <c r="B37" i="480" s="1"/>
  <c r="B37" i="481" l="1"/>
  <c r="H34" i="483"/>
  <c r="B36" i="483" s="1"/>
  <c r="H34" i="479" l="1"/>
  <c r="B36" i="479" s="1"/>
  <c r="H37" i="478"/>
  <c r="B39" i="478" s="1"/>
  <c r="H34" i="476" l="1"/>
  <c r="H33" i="475" l="1"/>
  <c r="B35" i="475" s="1"/>
  <c r="F35" i="474"/>
  <c r="B37" i="474" s="1"/>
  <c r="H35" i="473" l="1"/>
  <c r="B37" i="473" s="1"/>
  <c r="F20" i="472" l="1"/>
  <c r="F21" i="472" s="1"/>
  <c r="F35" i="472" l="1"/>
  <c r="B37" i="472" s="1"/>
  <c r="H35" i="471"/>
  <c r="B37" i="471" s="1"/>
  <c r="H35" i="470"/>
  <c r="B37" i="470" s="1"/>
  <c r="H39" i="469" l="1"/>
  <c r="B41" i="469" s="1"/>
  <c r="F35" i="468" l="1"/>
  <c r="B37" i="468" s="1"/>
  <c r="F34" i="434" l="1"/>
  <c r="F30" i="434"/>
  <c r="F35" i="467"/>
  <c r="B37" i="467" s="1"/>
  <c r="H23" i="459" l="1"/>
  <c r="H20" i="459"/>
  <c r="H20" i="466"/>
  <c r="H35" i="466" s="1"/>
  <c r="B37" i="466" s="1"/>
  <c r="F40" i="346" l="1"/>
  <c r="H20" i="183" l="1"/>
  <c r="H34" i="465" l="1"/>
  <c r="B36" i="465" s="1"/>
  <c r="H33" i="464" l="1"/>
  <c r="B35" i="464" s="1"/>
  <c r="B37" i="339"/>
  <c r="B36" i="463" l="1"/>
  <c r="F18" i="462" l="1"/>
  <c r="F34" i="462" s="1"/>
  <c r="B36" i="462" s="1"/>
  <c r="H34" i="328" l="1"/>
  <c r="F20" i="461" l="1"/>
  <c r="H33" i="460"/>
  <c r="B35" i="460" s="1"/>
  <c r="F33" i="461" l="1"/>
  <c r="B35" i="461" s="1"/>
  <c r="H35" i="459" l="1"/>
  <c r="B37" i="459" s="1"/>
  <c r="F23" i="202" l="1"/>
  <c r="F33" i="202" s="1"/>
  <c r="B35" i="202" s="1"/>
  <c r="F21" i="458" l="1"/>
  <c r="F33" i="458" s="1"/>
  <c r="B35" i="458" s="1"/>
  <c r="H25" i="419" l="1"/>
  <c r="H23" i="419"/>
  <c r="H20" i="419"/>
  <c r="F35" i="457" l="1"/>
  <c r="B37" i="457" s="1"/>
  <c r="F20" i="456" l="1"/>
  <c r="F21" i="456" s="1"/>
  <c r="F35" i="456" l="1"/>
  <c r="B37" i="456" s="1"/>
  <c r="B37" i="455"/>
  <c r="F25" i="453" l="1"/>
  <c r="F20" i="453"/>
  <c r="F38" i="453" l="1"/>
  <c r="H35" i="454"/>
  <c r="B37" i="454" s="1"/>
  <c r="F20" i="406"/>
  <c r="B40" i="453" l="1"/>
  <c r="H20" i="452" l="1"/>
  <c r="H35" i="452" s="1"/>
  <c r="B37" i="452" s="1"/>
  <c r="B38" i="394" l="1"/>
  <c r="F26" i="434"/>
  <c r="G35" i="129"/>
  <c r="B37" i="129" s="1"/>
  <c r="H33" i="367"/>
  <c r="B35" i="367" s="1"/>
  <c r="B39" i="143"/>
  <c r="B36" i="308"/>
  <c r="H27" i="451"/>
  <c r="H20" i="451"/>
  <c r="F33" i="254"/>
  <c r="B35" i="254" s="1"/>
  <c r="F34" i="450"/>
  <c r="B36" i="450" s="1"/>
  <c r="G20" i="449"/>
  <c r="G34" i="449" s="1"/>
  <c r="B36" i="449" s="1"/>
  <c r="B36" i="448"/>
  <c r="B38" i="239"/>
  <c r="F20" i="164"/>
  <c r="F21" i="164" s="1"/>
  <c r="H36" i="223"/>
  <c r="B38" i="223" s="1"/>
  <c r="B35" i="433"/>
  <c r="F35" i="447"/>
  <c r="B37" i="447" s="1"/>
  <c r="B36" i="446"/>
  <c r="F21" i="185"/>
  <c r="H35" i="320"/>
  <c r="B37" i="320" s="1"/>
  <c r="B37" i="255"/>
  <c r="H35" i="420"/>
  <c r="B37" i="420" s="1"/>
  <c r="H26" i="445"/>
  <c r="H35" i="445" s="1"/>
  <c r="B37" i="445" s="1"/>
  <c r="H21" i="444"/>
  <c r="H36" i="444" s="1"/>
  <c r="B38" i="444" s="1"/>
  <c r="H35" i="443"/>
  <c r="B37" i="443" s="1"/>
  <c r="H34" i="442"/>
  <c r="B36" i="442" s="1"/>
  <c r="F35" i="441"/>
  <c r="B37" i="441" s="1"/>
  <c r="H36" i="353"/>
  <c r="B38" i="353" s="1"/>
  <c r="F33" i="365"/>
  <c r="B35" i="365" s="1"/>
  <c r="F22" i="434"/>
  <c r="F21" i="440"/>
  <c r="F36" i="440" s="1"/>
  <c r="B38" i="440" s="1"/>
  <c r="F20" i="439"/>
  <c r="F38" i="439" s="1"/>
  <c r="B40" i="439" s="1"/>
  <c r="F35" i="422"/>
  <c r="B37" i="422" s="1"/>
  <c r="F37" i="438"/>
  <c r="B39" i="438" s="1"/>
  <c r="B37" i="98"/>
  <c r="B39" i="385"/>
  <c r="F22" i="341"/>
  <c r="F20" i="341"/>
  <c r="F33" i="437"/>
  <c r="B35" i="437" s="1"/>
  <c r="F20" i="436"/>
  <c r="F33" i="436" s="1"/>
  <c r="B35" i="436" s="1"/>
  <c r="F33" i="435"/>
  <c r="B35" i="435" s="1"/>
  <c r="B38" i="360"/>
  <c r="H34" i="372"/>
  <c r="B36" i="372" s="1"/>
  <c r="H21" i="311"/>
  <c r="H34" i="311" s="1"/>
  <c r="B36" i="311" s="1"/>
  <c r="F33" i="432"/>
  <c r="B35" i="432" s="1"/>
  <c r="F33" i="431"/>
  <c r="B35" i="431" s="1"/>
  <c r="F20" i="321"/>
  <c r="F23" i="321"/>
  <c r="B36" i="182"/>
  <c r="F26" i="375"/>
  <c r="F21" i="375"/>
  <c r="F24" i="430"/>
  <c r="F20" i="430"/>
  <c r="H24" i="429"/>
  <c r="F25" i="391"/>
  <c r="F26" i="391" s="1"/>
  <c r="F20" i="391"/>
  <c r="F21" i="391" s="1"/>
  <c r="H34" i="428"/>
  <c r="B36" i="428" s="1"/>
  <c r="F34" i="427"/>
  <c r="B36" i="427" s="1"/>
  <c r="O20" i="360"/>
  <c r="H36" i="93"/>
  <c r="B38" i="93" s="1"/>
  <c r="N19" i="397"/>
  <c r="F35" i="426"/>
  <c r="B37" i="426" s="1"/>
  <c r="F35" i="425"/>
  <c r="B37" i="425" s="1"/>
  <c r="F34" i="157"/>
  <c r="B36" i="157" s="1"/>
  <c r="B38" i="424"/>
  <c r="F25" i="423"/>
  <c r="F24" i="423"/>
  <c r="F23" i="423"/>
  <c r="F22" i="423"/>
  <c r="F21" i="423"/>
  <c r="B38" i="208"/>
  <c r="H33" i="421"/>
  <c r="B35" i="421" s="1"/>
  <c r="H29" i="419"/>
  <c r="H35" i="419" s="1"/>
  <c r="B37" i="419" s="1"/>
  <c r="F35" i="418"/>
  <c r="B37" i="418" s="1"/>
  <c r="F34" i="417"/>
  <c r="B36" i="417" s="1"/>
  <c r="N24" i="417"/>
  <c r="N23" i="417"/>
  <c r="N19" i="417"/>
  <c r="N18" i="417"/>
  <c r="B35" i="296"/>
  <c r="F33" i="263"/>
  <c r="B35" i="263" s="1"/>
  <c r="B45" i="337"/>
  <c r="F20" i="415"/>
  <c r="F33" i="415" s="1"/>
  <c r="B35" i="415" s="1"/>
  <c r="F21" i="382"/>
  <c r="N20" i="382"/>
  <c r="F20" i="405"/>
  <c r="F34" i="405" s="1"/>
  <c r="B36" i="405" s="1"/>
  <c r="F34" i="414"/>
  <c r="B36" i="414" s="1"/>
  <c r="F35" i="413"/>
  <c r="B37" i="413" s="1"/>
  <c r="F24" i="412"/>
  <c r="F21" i="412"/>
  <c r="F26" i="412" s="1"/>
  <c r="F21" i="406"/>
  <c r="F34" i="406" s="1"/>
  <c r="B36" i="406" s="1"/>
  <c r="H34" i="410"/>
  <c r="B36" i="410" s="1"/>
  <c r="H23" i="356"/>
  <c r="H33" i="356" s="1"/>
  <c r="B35" i="356" s="1"/>
  <c r="F35" i="408"/>
  <c r="B37" i="408" s="1"/>
  <c r="F21" i="407"/>
  <c r="F33" i="407" s="1"/>
  <c r="B35" i="407" s="1"/>
  <c r="F33" i="352"/>
  <c r="B35" i="352" s="1"/>
  <c r="F35" i="404"/>
  <c r="B37" i="404" s="1"/>
  <c r="H33" i="214"/>
  <c r="B35" i="214" s="1"/>
  <c r="F28" i="318"/>
  <c r="F33" i="318" s="1"/>
  <c r="F35" i="403"/>
  <c r="B37" i="403" s="1"/>
  <c r="H35" i="257"/>
  <c r="B37" i="257" s="1"/>
  <c r="B37" i="381"/>
  <c r="B36" i="402"/>
  <c r="F22" i="401"/>
  <c r="F36" i="401" s="1"/>
  <c r="B38" i="401" s="1"/>
  <c r="F20" i="399"/>
  <c r="F35" i="399" s="1"/>
  <c r="B37" i="399" s="1"/>
  <c r="H33" i="169"/>
  <c r="B35" i="169" s="1"/>
  <c r="F35" i="400"/>
  <c r="B37" i="400" s="1"/>
  <c r="F35" i="398"/>
  <c r="B37" i="398" s="1"/>
  <c r="F34" i="275"/>
  <c r="B36" i="275" s="1"/>
  <c r="F33" i="396"/>
  <c r="B35" i="396" s="1"/>
  <c r="F35" i="395"/>
  <c r="B37" i="395" s="1"/>
  <c r="F22" i="144"/>
  <c r="F35" i="144" s="1"/>
  <c r="B37" i="144" s="1"/>
  <c r="F36" i="393"/>
  <c r="B38" i="393" s="1"/>
  <c r="F22" i="392"/>
  <c r="F35" i="392" s="1"/>
  <c r="B37" i="392" s="1"/>
  <c r="F21" i="390"/>
  <c r="F34" i="390" s="1"/>
  <c r="B36" i="390" s="1"/>
  <c r="F35" i="389"/>
  <c r="B37" i="389" s="1"/>
  <c r="H33" i="387"/>
  <c r="B35" i="387" s="1"/>
  <c r="H35" i="225"/>
  <c r="B37" i="225" s="1"/>
  <c r="B36" i="386"/>
  <c r="H35" i="227"/>
  <c r="B37" i="227" s="1"/>
  <c r="F35" i="384"/>
  <c r="B37" i="384" s="1"/>
  <c r="F33" i="383"/>
  <c r="B35" i="383" s="1"/>
  <c r="F33" i="313"/>
  <c r="B35" i="313" s="1"/>
  <c r="F36" i="382"/>
  <c r="B38" i="382" s="1"/>
  <c r="F36" i="380"/>
  <c r="B38" i="380" s="1"/>
  <c r="F20" i="379"/>
  <c r="F34" i="379" s="1"/>
  <c r="B36" i="379" s="1"/>
  <c r="H34" i="378"/>
  <c r="B36" i="378" s="1"/>
  <c r="F34" i="377"/>
  <c r="B36" i="377" s="1"/>
  <c r="F35" i="376"/>
  <c r="B37" i="376" s="1"/>
  <c r="B36" i="374"/>
  <c r="B37" i="373"/>
  <c r="F35" i="370"/>
  <c r="B37" i="370" s="1"/>
  <c r="F23" i="369"/>
  <c r="F20" i="369"/>
  <c r="F35" i="235"/>
  <c r="B37" i="235" s="1"/>
  <c r="F36" i="368"/>
  <c r="B38" i="368" s="1"/>
  <c r="F33" i="366"/>
  <c r="B35" i="366" s="1"/>
  <c r="F33" i="236"/>
  <c r="B35" i="236" s="1"/>
  <c r="H36" i="33"/>
  <c r="B38" i="33" s="1"/>
  <c r="F35" i="364"/>
  <c r="B37" i="364" s="1"/>
  <c r="F33" i="57"/>
  <c r="B35" i="57" s="1"/>
  <c r="F22" i="363"/>
  <c r="F35" i="363" s="1"/>
  <c r="B37" i="363" s="1"/>
  <c r="F33" i="362"/>
  <c r="B35" i="362" s="1"/>
  <c r="F33" i="361"/>
  <c r="B35" i="361" s="1"/>
  <c r="F20" i="322"/>
  <c r="F35" i="322" s="1"/>
  <c r="B37" i="322" s="1"/>
  <c r="F33" i="359"/>
  <c r="B35" i="359" s="1"/>
  <c r="F23" i="358"/>
  <c r="F20" i="358"/>
  <c r="F22" i="279"/>
  <c r="F36" i="279" s="1"/>
  <c r="B38" i="279" s="1"/>
  <c r="F33" i="357"/>
  <c r="B35" i="357" s="1"/>
  <c r="F33" i="355"/>
  <c r="B35" i="355" s="1"/>
  <c r="H35" i="354"/>
  <c r="B37" i="354" s="1"/>
  <c r="F22" i="294"/>
  <c r="F33" i="294" s="1"/>
  <c r="F33" i="351"/>
  <c r="B35" i="351" s="1"/>
  <c r="F24" i="350"/>
  <c r="F35" i="350" s="1"/>
  <c r="B37" i="350" s="1"/>
  <c r="B35" i="195"/>
  <c r="F20" i="349"/>
  <c r="F33" i="349" s="1"/>
  <c r="B35" i="349" s="1"/>
  <c r="B37" i="158"/>
  <c r="F20" i="348"/>
  <c r="F33" i="348" s="1"/>
  <c r="B35" i="348" s="1"/>
  <c r="F33" i="36"/>
  <c r="B35" i="36" s="1"/>
  <c r="F24" i="347"/>
  <c r="F23" i="347"/>
  <c r="F22" i="347"/>
  <c r="F21" i="347"/>
  <c r="B42" i="346"/>
  <c r="F25" i="24"/>
  <c r="F24" i="24"/>
  <c r="F20" i="345"/>
  <c r="F35" i="345" s="1"/>
  <c r="B37" i="345" s="1"/>
  <c r="F33" i="265"/>
  <c r="B35" i="265" s="1"/>
  <c r="F33" i="344"/>
  <c r="B35" i="344" s="1"/>
  <c r="F34" i="343"/>
  <c r="B36" i="343" s="1"/>
  <c r="F23" i="332"/>
  <c r="F22" i="332"/>
  <c r="F35" i="142"/>
  <c r="B37" i="142" s="1"/>
  <c r="F35" i="340"/>
  <c r="B37" i="340" s="1"/>
  <c r="F29" i="251"/>
  <c r="F28" i="251"/>
  <c r="F27" i="251"/>
  <c r="F22" i="251"/>
  <c r="F21" i="251"/>
  <c r="F20" i="336"/>
  <c r="F33" i="336" s="1"/>
  <c r="B35" i="336" s="1"/>
  <c r="F33" i="335"/>
  <c r="B35" i="335" s="1"/>
  <c r="F33" i="334"/>
  <c r="B35" i="334" s="1"/>
  <c r="F35" i="333"/>
  <c r="B37" i="333" s="1"/>
  <c r="G33" i="216"/>
  <c r="B35" i="216" s="1"/>
  <c r="F34" i="117"/>
  <c r="B36" i="117" s="1"/>
  <c r="F35" i="331"/>
  <c r="B37" i="331" s="1"/>
  <c r="F35" i="330"/>
  <c r="B37" i="330" s="1"/>
  <c r="F35" i="329"/>
  <c r="B37" i="329" s="1"/>
  <c r="B36" i="328"/>
  <c r="F34" i="327"/>
  <c r="B36" i="327" s="1"/>
  <c r="F30" i="326"/>
  <c r="F35" i="326" s="1"/>
  <c r="B37" i="326" s="1"/>
  <c r="B34" i="189"/>
  <c r="F33" i="319"/>
  <c r="B35" i="319" s="1"/>
  <c r="F33" i="324"/>
  <c r="B35" i="324" s="1"/>
  <c r="B37" i="323"/>
  <c r="F34" i="312"/>
  <c r="B36" i="312" s="1"/>
  <c r="F33" i="317"/>
  <c r="B35" i="317" s="1"/>
  <c r="F33" i="233"/>
  <c r="B37" i="186"/>
  <c r="F33" i="274"/>
  <c r="B35" i="274" s="1"/>
  <c r="F33" i="247"/>
  <c r="F33" i="246"/>
  <c r="F33" i="171"/>
  <c r="F33" i="253"/>
  <c r="F33" i="281"/>
  <c r="F33" i="252"/>
  <c r="F33" i="262"/>
  <c r="F33" i="159"/>
  <c r="B35" i="159" s="1"/>
  <c r="F33" i="146"/>
  <c r="F33" i="16"/>
  <c r="F33" i="17"/>
  <c r="F33" i="211"/>
  <c r="F33" i="212"/>
  <c r="F33" i="192"/>
  <c r="F33" i="19"/>
  <c r="F33" i="130"/>
  <c r="F33" i="131"/>
  <c r="F33" i="134"/>
  <c r="F33" i="271"/>
  <c r="F33" i="218"/>
  <c r="B35" i="218" s="1"/>
  <c r="F33" i="283"/>
  <c r="F33" i="276"/>
  <c r="F33" i="167"/>
  <c r="F33" i="160"/>
  <c r="F33" i="21"/>
  <c r="F33" i="22"/>
  <c r="F33" i="23"/>
  <c r="F33" i="25"/>
  <c r="F33" i="122"/>
  <c r="F33" i="285"/>
  <c r="F33" i="284"/>
  <c r="F33" i="207"/>
  <c r="F33" i="244"/>
  <c r="F35" i="232"/>
  <c r="B37" i="232" s="1"/>
  <c r="F33" i="220"/>
  <c r="F35" i="220" s="1"/>
  <c r="F33" i="215"/>
  <c r="F33" i="298"/>
  <c r="F33" i="199"/>
  <c r="B35" i="199" s="1"/>
  <c r="F33" i="198"/>
  <c r="F33" i="197"/>
  <c r="F33" i="187"/>
  <c r="F33" i="179"/>
  <c r="F33" i="26"/>
  <c r="F33" i="27"/>
  <c r="F33" i="28"/>
  <c r="F33" i="29"/>
  <c r="F33" i="266"/>
  <c r="F34" i="266" s="1"/>
  <c r="F33" i="288"/>
  <c r="F34" i="288" s="1"/>
  <c r="F33" i="268"/>
  <c r="H35" i="280"/>
  <c r="B37" i="280" s="1"/>
  <c r="F33" i="31"/>
  <c r="F33" i="32"/>
  <c r="F33" i="34"/>
  <c r="F33" i="35"/>
  <c r="F33" i="37"/>
  <c r="F33" i="39"/>
  <c r="F33" i="40"/>
  <c r="F33" i="41"/>
  <c r="F33" i="42"/>
  <c r="F33" i="43"/>
  <c r="F33" i="47"/>
  <c r="F33" i="48"/>
  <c r="F33" i="49"/>
  <c r="F33" i="50"/>
  <c r="F33" i="51"/>
  <c r="F33" i="52"/>
  <c r="F33" i="53"/>
  <c r="F33" i="54"/>
  <c r="F33" i="55"/>
  <c r="F33" i="56"/>
  <c r="F33" i="59"/>
  <c r="F33" i="60"/>
  <c r="F33" i="61"/>
  <c r="F33" i="111"/>
  <c r="F33" i="112"/>
  <c r="F33" i="113"/>
  <c r="F33" i="114"/>
  <c r="F33" i="120"/>
  <c r="F33" i="124"/>
  <c r="F33" i="139"/>
  <c r="F33" i="62"/>
  <c r="B34" i="290"/>
  <c r="F33" i="217"/>
  <c r="F33" i="181"/>
  <c r="F33" i="64"/>
  <c r="F33" i="66"/>
  <c r="F33" i="67"/>
  <c r="F33" i="68"/>
  <c r="F33" i="69"/>
  <c r="F33" i="70"/>
  <c r="F33" i="126"/>
  <c r="F33" i="127"/>
  <c r="F33" i="304"/>
  <c r="F34" i="304" s="1"/>
  <c r="F33" i="270"/>
  <c r="F33" i="231"/>
  <c r="F35" i="228"/>
  <c r="B37" i="228" s="1"/>
  <c r="F33" i="194"/>
  <c r="F33" i="174"/>
  <c r="F33" i="168"/>
  <c r="F33" i="161"/>
  <c r="F34" i="161" s="1"/>
  <c r="F33" i="72"/>
  <c r="F33" i="73"/>
  <c r="F33" i="74"/>
  <c r="F33" i="75"/>
  <c r="F33" i="76"/>
  <c r="F33" i="78"/>
  <c r="F33" i="79"/>
  <c r="F33" i="80"/>
  <c r="F33" i="81"/>
  <c r="F33" i="82"/>
  <c r="F33" i="83"/>
  <c r="F33" i="84"/>
  <c r="F33" i="85"/>
  <c r="F33" i="86"/>
  <c r="F33" i="87"/>
  <c r="F33" i="88"/>
  <c r="F33" i="89"/>
  <c r="F33" i="90"/>
  <c r="F33" i="91"/>
  <c r="F33" i="92"/>
  <c r="F33" i="149"/>
  <c r="F33" i="226"/>
  <c r="F33" i="193"/>
  <c r="F33" i="286"/>
  <c r="F33" i="309"/>
  <c r="F33" i="314"/>
  <c r="B35" i="314" s="1"/>
  <c r="F33" i="316"/>
  <c r="B35" i="172"/>
  <c r="H33" i="221"/>
  <c r="B35" i="221" s="1"/>
  <c r="H33" i="248"/>
  <c r="B35" i="248" s="1"/>
  <c r="H33" i="278"/>
  <c r="B35" i="278" s="1"/>
  <c r="F33" i="170"/>
  <c r="F33" i="162"/>
  <c r="B35" i="162" s="1"/>
  <c r="F33" i="151"/>
  <c r="F33" i="147"/>
  <c r="F33" i="94"/>
  <c r="F33" i="95"/>
  <c r="F33" i="96"/>
  <c r="F33" i="97"/>
  <c r="F33" i="148"/>
  <c r="F33" i="101"/>
  <c r="F33" i="135"/>
  <c r="F33" i="272"/>
  <c r="F33" i="259"/>
  <c r="B35" i="259" s="1"/>
  <c r="F33" i="103"/>
  <c r="F33" i="163"/>
  <c r="F33" i="105"/>
  <c r="F33" i="300"/>
  <c r="F33" i="310"/>
  <c r="B35" i="310" s="1"/>
  <c r="F33" i="295"/>
  <c r="F33" i="287"/>
  <c r="F33" i="273"/>
  <c r="F33" i="256"/>
  <c r="F33" i="137"/>
  <c r="F33" i="138"/>
  <c r="F33" i="106"/>
  <c r="F33" i="123"/>
  <c r="F33" i="303"/>
  <c r="F33" i="301"/>
  <c r="H35" i="260"/>
  <c r="B37" i="260" s="1"/>
  <c r="B39" i="293"/>
  <c r="F33" i="166"/>
  <c r="F33" i="107"/>
  <c r="F34" i="107" s="1"/>
  <c r="F33" i="108"/>
  <c r="F33" i="140"/>
  <c r="F33" i="128"/>
  <c r="F33" i="145"/>
  <c r="F33" i="109"/>
  <c r="F33" i="136"/>
  <c r="F33" i="180"/>
  <c r="F33" i="190"/>
  <c r="F33" i="125"/>
  <c r="F33" i="141"/>
  <c r="F33" i="267"/>
  <c r="B35" i="267" s="1"/>
  <c r="B35" i="315"/>
  <c r="F25" i="102"/>
  <c r="F33" i="102" s="1"/>
  <c r="F35" i="307"/>
  <c r="F29" i="305"/>
  <c r="F33" i="305" s="1"/>
  <c r="F18" i="300"/>
  <c r="F30" i="299"/>
  <c r="F33" i="299" s="1"/>
  <c r="F23" i="204"/>
  <c r="F18" i="204"/>
  <c r="F21" i="203"/>
  <c r="F31" i="203" s="1"/>
  <c r="F27" i="219"/>
  <c r="F29" i="219"/>
  <c r="F28" i="219"/>
  <c r="F23" i="219"/>
  <c r="F22" i="219"/>
  <c r="F21" i="219"/>
  <c r="F24" i="297"/>
  <c r="F22" i="297"/>
  <c r="F20" i="297"/>
  <c r="F29" i="292"/>
  <c r="F33" i="292" s="1"/>
  <c r="F21" i="243"/>
  <c r="F29" i="243" s="1"/>
  <c r="F33" i="243" s="1"/>
  <c r="F31" i="291"/>
  <c r="F33" i="291" s="1"/>
  <c r="F20" i="289"/>
  <c r="F33" i="289" s="1"/>
  <c r="F31" i="282"/>
  <c r="F33" i="282" s="1"/>
  <c r="F30" i="277"/>
  <c r="F33" i="277" s="1"/>
  <c r="F26" i="153"/>
  <c r="F24" i="153"/>
  <c r="F22" i="153"/>
  <c r="F20" i="153"/>
  <c r="F20" i="269"/>
  <c r="F33" i="269" s="1"/>
  <c r="F24" i="200"/>
  <c r="F23" i="200"/>
  <c r="F20" i="264"/>
  <c r="F31" i="264" s="1"/>
  <c r="F26" i="261"/>
  <c r="F31" i="261"/>
  <c r="F30" i="261"/>
  <c r="F28" i="261"/>
  <c r="F25" i="261"/>
  <c r="F24" i="261"/>
  <c r="F23" i="261"/>
  <c r="F22" i="261"/>
  <c r="F21" i="261"/>
  <c r="F20" i="261"/>
  <c r="F18" i="258"/>
  <c r="F30" i="258" s="1"/>
  <c r="F33" i="258" s="1"/>
  <c r="F25" i="206"/>
  <c r="F22" i="206"/>
  <c r="H33" i="249"/>
  <c r="B35" i="249" s="1"/>
  <c r="F31" i="250"/>
  <c r="F33" i="250" s="1"/>
  <c r="H33" i="196"/>
  <c r="B35" i="196" s="1"/>
  <c r="F31" i="245"/>
  <c r="F33" i="245" s="1"/>
  <c r="F29" i="242"/>
  <c r="F33" i="242" s="1"/>
  <c r="F24" i="241"/>
  <c r="F21" i="241"/>
  <c r="F29" i="240"/>
  <c r="F33" i="240" s="1"/>
  <c r="F21" i="230"/>
  <c r="F29" i="230" s="1"/>
  <c r="F33" i="230" s="1"/>
  <c r="F20" i="238"/>
  <c r="F33" i="238" s="1"/>
  <c r="F31" i="234"/>
  <c r="F33" i="234" s="1"/>
  <c r="F29" i="229"/>
  <c r="F33" i="229" s="1"/>
  <c r="F20" i="155"/>
  <c r="F30" i="155" s="1"/>
  <c r="F26" i="224"/>
  <c r="F22" i="224"/>
  <c r="F20" i="224"/>
  <c r="F20" i="150"/>
  <c r="F33" i="150" s="1"/>
  <c r="F21" i="71"/>
  <c r="F33" i="71" s="1"/>
  <c r="F18" i="71"/>
  <c r="F22" i="210"/>
  <c r="F20" i="210"/>
  <c r="F20" i="209"/>
  <c r="F31" i="209" s="1"/>
  <c r="F29" i="205"/>
  <c r="F26" i="205"/>
  <c r="F23" i="205"/>
  <c r="F20" i="205"/>
  <c r="F20" i="184"/>
  <c r="F33" i="184" s="1"/>
  <c r="H33" i="183"/>
  <c r="B35" i="183" s="1"/>
  <c r="F20" i="176"/>
  <c r="F33" i="176" s="1"/>
  <c r="F22" i="175"/>
  <c r="F33" i="175" s="1"/>
  <c r="F21" i="173"/>
  <c r="F24" i="173"/>
  <c r="F19" i="167"/>
  <c r="F19" i="166"/>
  <c r="F22" i="156"/>
  <c r="F20" i="156"/>
  <c r="F23" i="99"/>
  <c r="F22" i="99"/>
  <c r="F21" i="99"/>
  <c r="F30" i="154"/>
  <c r="F33" i="154" s="1"/>
  <c r="F25" i="152"/>
  <c r="F24" i="152"/>
  <c r="F23" i="152"/>
  <c r="F22" i="152"/>
  <c r="F21" i="152"/>
  <c r="F30" i="133"/>
  <c r="F33" i="133" s="1"/>
  <c r="F31" i="132"/>
  <c r="F33" i="132" s="1"/>
  <c r="F31" i="121"/>
  <c r="F33" i="121" s="1"/>
  <c r="F31" i="119"/>
  <c r="F33" i="119" s="1"/>
  <c r="F30" i="118"/>
  <c r="F33" i="118" s="1"/>
  <c r="F30" i="116"/>
  <c r="F33" i="116" s="1"/>
  <c r="F31" i="115"/>
  <c r="F33" i="115" s="1"/>
  <c r="F31" i="110"/>
  <c r="F33" i="110" s="1"/>
  <c r="F31" i="104"/>
  <c r="F33" i="104" s="1"/>
  <c r="F30" i="100"/>
  <c r="F33" i="100" s="1"/>
  <c r="F31" i="65"/>
  <c r="F33" i="65" s="1"/>
  <c r="F31" i="63"/>
  <c r="F33" i="63" s="1"/>
  <c r="F31" i="58"/>
  <c r="F33" i="58" s="1"/>
  <c r="F27" i="46"/>
  <c r="F33" i="46" s="1"/>
  <c r="F28" i="45"/>
  <c r="F33" i="45" s="1"/>
  <c r="F27" i="44"/>
  <c r="F33" i="44" s="1"/>
  <c r="F31" i="38"/>
  <c r="F33" i="38" s="1"/>
  <c r="F33" i="30"/>
  <c r="B35" i="30" s="1"/>
  <c r="F24" i="20"/>
  <c r="F26" i="20" s="1"/>
  <c r="F31" i="18"/>
  <c r="F33" i="18" s="1"/>
  <c r="F35" i="24" l="1"/>
  <c r="B37" i="24" s="1"/>
  <c r="F35" i="434"/>
  <c r="B37" i="434" s="1"/>
  <c r="F33" i="200"/>
  <c r="F31" i="210"/>
  <c r="F33" i="210" s="1"/>
  <c r="H33" i="306"/>
  <c r="F33" i="164"/>
  <c r="B35" i="164" s="1"/>
  <c r="F33" i="321"/>
  <c r="B35" i="321" s="1"/>
  <c r="F33" i="430"/>
  <c r="B35" i="430" s="1"/>
  <c r="H33" i="429"/>
  <c r="B35" i="429" s="1"/>
  <c r="F34" i="375"/>
  <c r="B36" i="375" s="1"/>
  <c r="F35" i="347"/>
  <c r="B37" i="347" s="1"/>
  <c r="B38" i="302"/>
  <c r="F33" i="423"/>
  <c r="B35" i="423" s="1"/>
  <c r="F31" i="152"/>
  <c r="F33" i="206"/>
  <c r="F33" i="203"/>
  <c r="H36" i="388"/>
  <c r="B38" i="388" s="1"/>
  <c r="F33" i="264"/>
  <c r="H36" i="451"/>
  <c r="B38" i="451" s="1"/>
  <c r="F33" i="155"/>
  <c r="F33" i="156"/>
  <c r="F33" i="241"/>
  <c r="F34" i="289"/>
  <c r="F33" i="224"/>
  <c r="F34" i="224" s="1"/>
  <c r="F33" i="297"/>
  <c r="F38" i="332"/>
  <c r="B40" i="332" s="1"/>
  <c r="F33" i="99"/>
  <c r="F34" i="99" s="1"/>
  <c r="F35" i="358"/>
  <c r="B37" i="358" s="1"/>
  <c r="F35" i="251"/>
  <c r="B37" i="251" s="1"/>
  <c r="F34" i="391"/>
  <c r="B36" i="391" s="1"/>
  <c r="B35" i="318"/>
  <c r="F33" i="20"/>
  <c r="F35" i="20" s="1"/>
  <c r="F37" i="20" s="1"/>
  <c r="F22" i="185"/>
  <c r="F23" i="185" s="1"/>
  <c r="F33" i="152"/>
  <c r="F33" i="153"/>
  <c r="F34" i="153" s="1"/>
  <c r="F33" i="173"/>
  <c r="F31" i="205"/>
  <c r="F33" i="205" s="1"/>
  <c r="F33" i="209"/>
  <c r="F33" i="261"/>
  <c r="F38" i="261" s="1"/>
  <c r="F33" i="219"/>
  <c r="F31" i="204"/>
  <c r="F33" i="204" s="1"/>
  <c r="F35" i="412"/>
  <c r="B37" i="412" s="1"/>
  <c r="F34" i="369"/>
  <c r="B36" i="369" s="1"/>
  <c r="F35" i="411"/>
  <c r="B37" i="411" s="1"/>
  <c r="F26" i="341"/>
  <c r="F34" i="341" s="1"/>
  <c r="B36" i="341" s="1"/>
  <c r="F33" i="185" l="1"/>
  <c r="B35" i="185" s="1"/>
  <c r="B37" i="77" l="1"/>
</calcChain>
</file>

<file path=xl/sharedStrings.xml><?xml version="1.0" encoding="utf-8"?>
<sst xmlns="http://schemas.openxmlformats.org/spreadsheetml/2006/main" count="27168" uniqueCount="7285">
  <si>
    <t>Thank you.</t>
  </si>
  <si>
    <t>Kindly acknowledge receipt.</t>
  </si>
  <si>
    <t>Date:</t>
  </si>
  <si>
    <t>I/C No:</t>
  </si>
  <si>
    <t>Managing Director</t>
  </si>
  <si>
    <t>_____________________</t>
  </si>
  <si>
    <t xml:space="preserve">     ______________________</t>
  </si>
  <si>
    <t>Received by:</t>
  </si>
  <si>
    <t>Approved by:</t>
  </si>
  <si>
    <t xml:space="preserve">      ______________________</t>
  </si>
  <si>
    <t>Prepared by:</t>
  </si>
  <si>
    <t/>
  </si>
  <si>
    <t>MATTA Fair KL from March 12 - 14,  2010</t>
  </si>
  <si>
    <t>AMOUNT (RM)</t>
  </si>
  <si>
    <t xml:space="preserve">     PARTICULARS</t>
  </si>
  <si>
    <t>INVOICE DATE     INVOICE NO</t>
  </si>
  <si>
    <t xml:space="preserve">      55100 Kuala Lumpur</t>
  </si>
  <si>
    <t xml:space="preserve">Cheque No.     </t>
  </si>
  <si>
    <t xml:space="preserve">  :    CIMB</t>
  </si>
  <si>
    <t xml:space="preserve">Bank               </t>
  </si>
  <si>
    <t xml:space="preserve">  :   25 February 2010</t>
  </si>
  <si>
    <t xml:space="preserve">Date                </t>
  </si>
  <si>
    <t xml:space="preserve">Voucher No.    </t>
  </si>
  <si>
    <t>PAYMENT VOUCHER</t>
  </si>
  <si>
    <t>To:</t>
  </si>
  <si>
    <t>(formerly known as DCT Consultancy Services Sdn Bhd)</t>
  </si>
  <si>
    <t>Penang Global Tourism Sdn Bhd (Co. No. 50689-X)</t>
  </si>
  <si>
    <t xml:space="preserve">  :   04 March 2011</t>
  </si>
  <si>
    <t xml:space="preserve">      10470 Penang</t>
  </si>
  <si>
    <t xml:space="preserve">  :   14 June 2010</t>
  </si>
  <si>
    <t>Registration fee</t>
  </si>
  <si>
    <t>TOTAL:  RINGGIT One Thousand and Five Hundred only.</t>
  </si>
  <si>
    <t>Contingency</t>
  </si>
  <si>
    <t>3.</t>
  </si>
  <si>
    <t>Local transportation</t>
  </si>
  <si>
    <t>2.</t>
  </si>
  <si>
    <t>1.</t>
  </si>
  <si>
    <t>Advance taken for:</t>
  </si>
  <si>
    <t>-</t>
  </si>
  <si>
    <t>Add: Reimbursement of claims</t>
  </si>
  <si>
    <t xml:space="preserve">  :   30 March 2010</t>
  </si>
  <si>
    <t>TOTAL:  RINGGIT One Thousand One Hundred and Seventy Five only.</t>
  </si>
  <si>
    <t>Per diem for food allowance (RM235 x 5 days)</t>
  </si>
  <si>
    <t>1</t>
  </si>
  <si>
    <t>Advance taken for:-</t>
  </si>
  <si>
    <t>from 9 - 11, September 2009</t>
  </si>
  <si>
    <t>"Penang showcase" in Singapore</t>
  </si>
  <si>
    <t xml:space="preserve">  :   2 September 2009</t>
  </si>
  <si>
    <t>Reimbursement for claims:</t>
  </si>
  <si>
    <t xml:space="preserve">      Assistant Manager</t>
  </si>
  <si>
    <t xml:space="preserve">  :   19 November 2009</t>
  </si>
  <si>
    <t xml:space="preserve">   </t>
  </si>
  <si>
    <t xml:space="preserve">  </t>
  </si>
  <si>
    <t xml:space="preserve">     10200 Penang</t>
  </si>
  <si>
    <t xml:space="preserve">  :   15 March 2010</t>
  </si>
  <si>
    <t>Reimbursement of claims:</t>
  </si>
  <si>
    <t>Practical Training Placement</t>
  </si>
  <si>
    <t xml:space="preserve">      Trainee</t>
  </si>
  <si>
    <t xml:space="preserve">  :   23 July 2010</t>
  </si>
  <si>
    <t>TOTAL:  RINGGIT Five Thousand only.</t>
  </si>
  <si>
    <t>Newsletter</t>
  </si>
  <si>
    <t>Sponsorship for printing Nichi-Ma Press</t>
  </si>
  <si>
    <t xml:space="preserve">      10250 Penang</t>
  </si>
  <si>
    <t xml:space="preserve">  :    845828</t>
  </si>
  <si>
    <t xml:space="preserve">      Persiaran Gurney</t>
  </si>
  <si>
    <t xml:space="preserve">      18-13-A, Gurney Tower</t>
  </si>
  <si>
    <t xml:space="preserve">  :   1 October 2009</t>
  </si>
  <si>
    <t xml:space="preserve">      Wim Press Sdn Bhd</t>
  </si>
  <si>
    <t xml:space="preserve">  :   V183/2009</t>
  </si>
  <si>
    <t>TOTAL:  RINGGIT Eight Thousand Four Hundred and Fifteen only.</t>
  </si>
  <si>
    <t>Less: 15% discount</t>
  </si>
  <si>
    <t>Cost of booths (2 standard size - 9 sqm)</t>
  </si>
  <si>
    <t xml:space="preserve"> 24.04.2009           MDTF8013</t>
  </si>
  <si>
    <t>in Kuala Lumpur from July 3 - 5, 2009</t>
  </si>
  <si>
    <t>Participation in Malaysian Domestic Tourism Fair 2009</t>
  </si>
  <si>
    <t xml:space="preserve">     50566 Kuala Lumpur</t>
  </si>
  <si>
    <t xml:space="preserve">     Jalan Damansara</t>
  </si>
  <si>
    <t xml:space="preserve">  :    776675</t>
  </si>
  <si>
    <t xml:space="preserve">     Muzium Negara, </t>
  </si>
  <si>
    <t xml:space="preserve">     c/o KLTA Tourist Information Centre</t>
  </si>
  <si>
    <t xml:space="preserve">  :   8 June 2009</t>
  </si>
  <si>
    <t xml:space="preserve">      National Tourism Council of Malaysia</t>
  </si>
  <si>
    <t xml:space="preserve">  :   V025/2009</t>
  </si>
  <si>
    <t>TOTAL:  RINGGIT Seventeen Thousand and Nine Hundred only.</t>
  </si>
  <si>
    <t>(10,000 copies x RM1.79)</t>
  </si>
  <si>
    <t>Printing of Homestay booklet</t>
  </si>
  <si>
    <t xml:space="preserve"> 30.04.2010                 291021</t>
  </si>
  <si>
    <t xml:space="preserve">      10200 Penang</t>
  </si>
  <si>
    <t xml:space="preserve">  :    996987</t>
  </si>
  <si>
    <t xml:space="preserve">      No. 45, Green Hall</t>
  </si>
  <si>
    <t xml:space="preserve">      Suite 1, Tingkat 2, Bangunan Tabung Haji</t>
  </si>
  <si>
    <t xml:space="preserve">  :   08 July 2010</t>
  </si>
  <si>
    <t xml:space="preserve">      New Perspective Sdn Bhd</t>
  </si>
  <si>
    <t xml:space="preserve">  :   V391/2010</t>
  </si>
  <si>
    <t>TOTAL:  RINGGIT One Hundred Three and Sen ninety only.</t>
  </si>
  <si>
    <t>Newspapers for the month of July 2010</t>
  </si>
  <si>
    <t xml:space="preserve">   30.06.2010                 </t>
  </si>
  <si>
    <t xml:space="preserve">  :    011951</t>
  </si>
  <si>
    <t xml:space="preserve">      11950 Bayan Lepas, Penang</t>
  </si>
  <si>
    <t xml:space="preserve">      463 Persiaran Mayang Pasir</t>
  </si>
  <si>
    <t xml:space="preserve">  :   16 August 2010</t>
  </si>
  <si>
    <t xml:space="preserve">      T.M. Sundram</t>
  </si>
  <si>
    <t xml:space="preserve">  :   V457/2010</t>
  </si>
  <si>
    <t>Director</t>
  </si>
  <si>
    <t>TOTAL:  RINGGIT Seven Thousand Four Hundred Ninety Eight and Sen Forty Three only.</t>
  </si>
  <si>
    <t>Less: Advance taken (V140/2010)</t>
  </si>
  <si>
    <t>Hotel Accommodation</t>
  </si>
  <si>
    <t>Tips &amp; Porterage</t>
  </si>
  <si>
    <t>Per diem</t>
  </si>
  <si>
    <t>ITB in Berlin, Germany from March 10 - 14, 2010</t>
  </si>
  <si>
    <t>Less: Advance taken (V113/2010)</t>
  </si>
  <si>
    <t>Sales Mission to India from 28 Feb - 7 Mar 2010</t>
  </si>
  <si>
    <t xml:space="preserve">  :    954604</t>
  </si>
  <si>
    <t xml:space="preserve">      Managing Director</t>
  </si>
  <si>
    <t xml:space="preserve">  :   28 April 2010</t>
  </si>
  <si>
    <t xml:space="preserve">      Ms Ooi Geok Ling</t>
  </si>
  <si>
    <t xml:space="preserve">  :   V254/2010</t>
  </si>
  <si>
    <t>TOTAL:  RINGGIT Two Hundred and Fifty only.</t>
  </si>
  <si>
    <t>Allowance for period 4 Mar 2010 - 2 Apr 2010</t>
  </si>
  <si>
    <t xml:space="preserve"> Memo dated 23.02.2010</t>
  </si>
  <si>
    <t>at State Tourism Office</t>
  </si>
  <si>
    <t>for period from 4 January 2010 - 2 April 2010</t>
  </si>
  <si>
    <t xml:space="preserve">  :    915233</t>
  </si>
  <si>
    <t xml:space="preserve">      Ong Yi Ling</t>
  </si>
  <si>
    <t xml:space="preserve">  :   V186/2010</t>
  </si>
  <si>
    <t>TOTAL:  RINGGIT Six Thousand One Hundred Forty Six and Sen Sixty only.</t>
  </si>
  <si>
    <t>(Balance payment)</t>
  </si>
  <si>
    <t xml:space="preserve">Board Meeting lunch 20/10 - Sandwiches </t>
  </si>
  <si>
    <t>Net Salary for November 2009</t>
  </si>
  <si>
    <t xml:space="preserve">  :    845900</t>
  </si>
  <si>
    <t xml:space="preserve">      General Manager</t>
  </si>
  <si>
    <t xml:space="preserve">  :   25 November 2009</t>
  </si>
  <si>
    <t xml:space="preserve">      Mr Ong Thiam Hiong</t>
  </si>
  <si>
    <t xml:space="preserve">  :   V262/2009</t>
  </si>
  <si>
    <t>TOTAL:  RINGGIT One Hundred and Fifty only.</t>
  </si>
  <si>
    <t>Subway sandwiches &amp; drinks for Board Meeting</t>
  </si>
  <si>
    <t>Advance taken for ordering</t>
  </si>
  <si>
    <t>20 October 2009</t>
  </si>
  <si>
    <t>Lunch for Board Meeting</t>
  </si>
  <si>
    <t xml:space="preserve">  :    845859</t>
  </si>
  <si>
    <t xml:space="preserve">  :   19 October 2009</t>
  </si>
  <si>
    <t xml:space="preserve">      Ong Thiam Hiong</t>
  </si>
  <si>
    <t xml:space="preserve">  :   V217/2009</t>
  </si>
  <si>
    <t>Ooi Geok Ling</t>
  </si>
  <si>
    <t>TOTAL:  RINGGIT Four Thousand Two Hundred Twenty Three and Sen Eighty Eight only.</t>
  </si>
  <si>
    <t>S$1,774.77 x 2.38</t>
  </si>
  <si>
    <t>Purchase of Sony FIT VAIO Laptop</t>
  </si>
  <si>
    <t>Reimbursement of claims:-</t>
  </si>
  <si>
    <t xml:space="preserve">  :    996971</t>
  </si>
  <si>
    <t xml:space="preserve">  :   29 June 2010</t>
  </si>
  <si>
    <t xml:space="preserve">  :   V377/2010</t>
  </si>
  <si>
    <t>TOTAL:  RINGGIT One Thousand and Nine Hundred only.</t>
  </si>
  <si>
    <t xml:space="preserve">  Two Potato, UK)</t>
  </si>
  <si>
    <t>(Will be reimbursed by One Potato</t>
  </si>
  <si>
    <t>Cancellation charges</t>
  </si>
  <si>
    <t>Transportation - May 31</t>
  </si>
  <si>
    <t xml:space="preserve"> 31.05.2010         TRA050647</t>
  </si>
  <si>
    <t>Transportation - May 25 &amp; 26</t>
  </si>
  <si>
    <t xml:space="preserve"> 25.05.2010         TRA050500</t>
  </si>
  <si>
    <t>Gordon Ramsay's Great Escape 2</t>
  </si>
  <si>
    <t xml:space="preserve">  :    996952</t>
  </si>
  <si>
    <t xml:space="preserve">      11900 Bayan Lepas, Penang</t>
  </si>
  <si>
    <t xml:space="preserve">      Plot 110,  Hala Kampung Jawa 2</t>
  </si>
  <si>
    <t xml:space="preserve">  :   18 June 2010</t>
  </si>
  <si>
    <t xml:space="preserve">      Priority Cargo Sdn Bhd</t>
  </si>
  <si>
    <t xml:space="preserve">  :   V357/2010</t>
  </si>
  <si>
    <t>TOTAL:  RINGGIT Fourteen Thousand Seven Hundred Nineteen and Sen Fourteen only.</t>
  </si>
  <si>
    <t>Bank charges on TT</t>
  </si>
  <si>
    <t>(USD4,110.00 x 3.5740)</t>
  </si>
  <si>
    <t>Bank processing fee of US35.00</t>
  </si>
  <si>
    <t>Participation Fee of US4,075.00 and</t>
  </si>
  <si>
    <t xml:space="preserve"> 28.04.2009        PTM09 S-12501</t>
  </si>
  <si>
    <t>in Hangzhou, China from 22 - 25, September 2009</t>
  </si>
  <si>
    <t>PATA Travel Mart 2009</t>
  </si>
  <si>
    <t xml:space="preserve">      San Francisco, USA</t>
  </si>
  <si>
    <t xml:space="preserve">  :    by telegraphic transfer</t>
  </si>
  <si>
    <t xml:space="preserve">      Paid via Bank of The West</t>
  </si>
  <si>
    <t xml:space="preserve">      Thailand</t>
  </si>
  <si>
    <t xml:space="preserve">  :   23 June 2009</t>
  </si>
  <si>
    <t xml:space="preserve">      Pacific Asia Travel Association</t>
  </si>
  <si>
    <t xml:space="preserve">  :   V37A/2009</t>
  </si>
  <si>
    <t>TOTAL:  RINGGIT Three Hundred only.</t>
  </si>
  <si>
    <t>Peter Goh - July 2010</t>
  </si>
  <si>
    <t xml:space="preserve">Honorarium for accounting works </t>
  </si>
  <si>
    <t xml:space="preserve">  :    011935</t>
  </si>
  <si>
    <t xml:space="preserve">  :   28 July 2010</t>
  </si>
  <si>
    <t xml:space="preserve">      Goh Hock Hoe, Peter</t>
  </si>
  <si>
    <t xml:space="preserve">  :   V441/2010</t>
  </si>
  <si>
    <t>TOTAL:  RINGGIT Three Thousand only.</t>
  </si>
  <si>
    <t>TOTAL:  RINGGIT One Thousand Five Hundred Sixteen and Sen Forty One only.</t>
  </si>
  <si>
    <t>Handphone claims (Dec &amp; Jan 2010)</t>
  </si>
  <si>
    <t>2</t>
  </si>
  <si>
    <t>Mileage claims &amp; parking fee for Feb 10</t>
  </si>
  <si>
    <t>Net Salary for March 2010</t>
  </si>
  <si>
    <t xml:space="preserve">  :    915225</t>
  </si>
  <si>
    <t xml:space="preserve">      Coordinator</t>
  </si>
  <si>
    <t xml:space="preserve">      Ms Parveena Devi a/p Mageswaran</t>
  </si>
  <si>
    <t xml:space="preserve">  :   V178/2010</t>
  </si>
  <si>
    <t>TOTAL:  RINGGIT One Thousand Two Hundred and Ninety only.</t>
  </si>
  <si>
    <t>staff salary for the month of July 2010</t>
  </si>
  <si>
    <t>Payment for Income tax deduction (PCB) from</t>
  </si>
  <si>
    <t xml:space="preserve">  :    011932</t>
  </si>
  <si>
    <t xml:space="preserve">       Ketua Pengarah Hasil Dalam Negeri</t>
  </si>
  <si>
    <t xml:space="preserve">  :   V438/2010</t>
  </si>
  <si>
    <t xml:space="preserve">TOTAL:  RINGGIT </t>
  </si>
  <si>
    <t xml:space="preserve">     11909 Bayan Lepas, Penang</t>
  </si>
  <si>
    <t xml:space="preserve">      No. 1 Pesiaran Mahsuri</t>
  </si>
  <si>
    <t>TOTAL:  RINGGIT Five Hundred only.</t>
  </si>
  <si>
    <t>TOTAL:  RINGGIT Eight Hundred only.</t>
  </si>
  <si>
    <t>Disbursement</t>
  </si>
  <si>
    <t>Secretarial fee Jan 2010 - Jun 2010</t>
  </si>
  <si>
    <t xml:space="preserve">   21.07.2010                 14/2010</t>
  </si>
  <si>
    <t xml:space="preserve">  :    011943</t>
  </si>
  <si>
    <t xml:space="preserve">      Level 4, PDC Building</t>
  </si>
  <si>
    <t xml:space="preserve">  :   03 August 2010</t>
  </si>
  <si>
    <t xml:space="preserve">      PDC Premier Holdings Sdn Bhd</t>
  </si>
  <si>
    <t xml:space="preserve">  :   V449/2010</t>
  </si>
  <si>
    <t>TOTAL:  RINGGIT Four Hundred only.</t>
  </si>
  <si>
    <t>Per diem for food allowance (RM100 x 4 days)</t>
  </si>
  <si>
    <t>MATTA Fair KL from March 12 - 14, 2010</t>
  </si>
  <si>
    <t xml:space="preserve">  :    915191</t>
  </si>
  <si>
    <t xml:space="preserve">      Parveena Devi Mageswaran</t>
  </si>
  <si>
    <t xml:space="preserve">  :   V146/2010</t>
  </si>
  <si>
    <t>TOTAL:  RINGGIT Nine Hundred only.</t>
  </si>
  <si>
    <t>Dhol Performance Service</t>
  </si>
  <si>
    <t>on 3 July 2010</t>
  </si>
  <si>
    <t xml:space="preserve">Celcom Futsall Fiesta 2010 at Esplanade </t>
  </si>
  <si>
    <t xml:space="preserve">  :    011941</t>
  </si>
  <si>
    <t xml:space="preserve">       Penang</t>
  </si>
  <si>
    <t xml:space="preserve">       The Penang Dhol Blasters </t>
  </si>
  <si>
    <t xml:space="preserve">  :   2 August 2010</t>
  </si>
  <si>
    <t xml:space="preserve">       Pevandeep Singh Gill (901212-07-5791)</t>
  </si>
  <si>
    <t xml:space="preserve">  :   V447/2010</t>
  </si>
  <si>
    <t>TOTAL:  RINGGIT Two Thousand and Five Hundred only.</t>
  </si>
  <si>
    <t>Issue No. 5  - Mar/Apr 2010</t>
  </si>
  <si>
    <t xml:space="preserve"> 14.05.2010           7302             </t>
  </si>
  <si>
    <t>"Advertisement in Travelution Magazine"</t>
  </si>
  <si>
    <t>and replaced by chq no. 997000 dated 8.7.10</t>
  </si>
  <si>
    <t>Cancellation of cheque no. 954593 (V242/2010) 23.4.10</t>
  </si>
  <si>
    <t xml:space="preserve">  :    997000</t>
  </si>
  <si>
    <t xml:space="preserve">       55100 Kuala Lumpur</t>
  </si>
  <si>
    <t xml:space="preserve">       No. 340 1st Floor Jalan Pudu</t>
  </si>
  <si>
    <t xml:space="preserve">       Photo Creator Publication</t>
  </si>
  <si>
    <t xml:space="preserve">  :   V404/2010</t>
  </si>
  <si>
    <t>Contribution for the above event</t>
  </si>
  <si>
    <t>at Penang Sports Club on 9 - 12 June 2010</t>
  </si>
  <si>
    <t>Gurdwara Cup &amp; Sikh Festival of Sports 2010</t>
  </si>
  <si>
    <t xml:space="preserve">  :    996986</t>
  </si>
  <si>
    <t xml:space="preserve">      10300 Penang</t>
  </si>
  <si>
    <t xml:space="preserve">      87, Jalan Gurdwara</t>
  </si>
  <si>
    <t xml:space="preserve">      Persatuan Sikh Pulau Pinang</t>
  </si>
  <si>
    <t xml:space="preserve">  :   V390/2010</t>
  </si>
  <si>
    <t>TOTAL:  RINGGIT Four Thousand Two Hundred and Sixty only.</t>
  </si>
  <si>
    <t>Microsoft Office Access 2007 Full Pack</t>
  </si>
  <si>
    <t xml:space="preserve"> 09.11.2009                 110324</t>
  </si>
  <si>
    <t>Microsoft Office SBE 2007 Full Pack</t>
  </si>
  <si>
    <t>Purchase of computer - HP Compaq dc5850</t>
  </si>
  <si>
    <t xml:space="preserve"> 20.10.2009                 110283</t>
  </si>
  <si>
    <t xml:space="preserve">      11900 Sungai Nibong, Penang</t>
  </si>
  <si>
    <t xml:space="preserve">  :    845897</t>
  </si>
  <si>
    <t xml:space="preserve">     303 Jalan Sultan Azlan Shah</t>
  </si>
  <si>
    <t xml:space="preserve">      B-3-18 Krystal Point</t>
  </si>
  <si>
    <t xml:space="preserve">      PenTech Solution Sdn Bhd</t>
  </si>
  <si>
    <t xml:space="preserve">  :   V255/2009</t>
  </si>
  <si>
    <t>TOTAL:  RINGGIT Six Thousand and Two Hundred only.</t>
  </si>
  <si>
    <t>Printing of 20,000 copies @ RM0.31each</t>
  </si>
  <si>
    <t>13.05.2010             INV103489</t>
  </si>
  <si>
    <t>Penang Food Trails - Seberang Perai</t>
  </si>
  <si>
    <t xml:space="preserve">  :    996985</t>
  </si>
  <si>
    <t xml:space="preserve">      45 Green Hall</t>
  </si>
  <si>
    <t xml:space="preserve">     Tingkat 2, Bangunan TH</t>
  </si>
  <si>
    <t xml:space="preserve">      Pen'Ads (M) Sdn Bhd</t>
  </si>
  <si>
    <t xml:space="preserve">  :   V389/2010</t>
  </si>
  <si>
    <t>TOTAL:  RINGGIT Nineteen Thousand only.</t>
  </si>
  <si>
    <t xml:space="preserve">    - size      : A5 </t>
  </si>
  <si>
    <t xml:space="preserve">    - Extend : 60pages + cover</t>
  </si>
  <si>
    <t>Charges for printing 10,000 copies</t>
  </si>
  <si>
    <t>Charges for photography, editing, design and artwork</t>
  </si>
  <si>
    <t xml:space="preserve">  14.07.2010            2180</t>
  </si>
  <si>
    <t>VISIT PENANG -PRACTICAL TRAVEL GUIDE</t>
  </si>
  <si>
    <t xml:space="preserve">      Tel : 603-21482378</t>
  </si>
  <si>
    <t xml:space="preserve">  :    011964</t>
  </si>
  <si>
    <t xml:space="preserve">      No.340, 1st Floor, Jalan Pudu</t>
  </si>
  <si>
    <t xml:space="preserve">      PCP Photo Creator Publication</t>
  </si>
  <si>
    <t xml:space="preserve">  :   V469/2010</t>
  </si>
  <si>
    <t xml:space="preserve">      Photo Creator Publication</t>
  </si>
  <si>
    <t>TOTAL:  RINGGIT Ten Thousand only.</t>
  </si>
  <si>
    <t xml:space="preserve"> on 5 / 6 &amp; 6 / 6 /2010</t>
  </si>
  <si>
    <t>Lion dance training - 74 participants</t>
  </si>
  <si>
    <t xml:space="preserve">  18.07.2010            EXP1007004</t>
  </si>
  <si>
    <t>LION DANCE MASTER TRAINING PROGRAMME</t>
  </si>
  <si>
    <t xml:space="preserve">      Seberang Perai</t>
  </si>
  <si>
    <t xml:space="preserve">  :    011961</t>
  </si>
  <si>
    <t xml:space="preserve">      13200 Kepala Batas</t>
  </si>
  <si>
    <t xml:space="preserve">      1421, Jalan Lahar Bubu</t>
  </si>
  <si>
    <t xml:space="preserve">      Persatuan Sukan &amp; Kebudayaan Tionghua Kepala Batas</t>
  </si>
  <si>
    <t xml:space="preserve">  :   V466/2010</t>
  </si>
  <si>
    <t xml:space="preserve"> - 8 Ogos 2009</t>
  </si>
  <si>
    <t>Pertandingan Nyanyian lagu-lagu Cina</t>
  </si>
  <si>
    <t>Peruntukkan bagi menganjurkan</t>
  </si>
  <si>
    <t>TOTAL:  RINGGIT Thirty Thousand only.</t>
  </si>
  <si>
    <t>on 18 - 20 August 2010</t>
  </si>
  <si>
    <t>at Padang Brown, Jalan Anson</t>
  </si>
  <si>
    <t>Hungry Ghost Festival</t>
  </si>
  <si>
    <t xml:space="preserve">  02.08.2010       </t>
  </si>
  <si>
    <t>PERAYAAN PHOR THOR [ HUNGRY GHOST FESTIVAL ]</t>
  </si>
  <si>
    <t xml:space="preserve">  :    011962</t>
  </si>
  <si>
    <t xml:space="preserve">      11600 Penang</t>
  </si>
  <si>
    <t xml:space="preserve">      No. 24, Jalan Bagan Serai</t>
  </si>
  <si>
    <t xml:space="preserve">      Persatuan Teong Guan Pulau Pinang</t>
  </si>
  <si>
    <t xml:space="preserve">  :   V467/2010</t>
  </si>
  <si>
    <t>TOTAL:  RINGGIT Two Thousand only.</t>
  </si>
  <si>
    <t>Venue rental on 20 March 2010</t>
  </si>
  <si>
    <t xml:space="preserve"> 24.03.2010</t>
  </si>
  <si>
    <t>International Management Conference 2010</t>
  </si>
  <si>
    <t xml:space="preserve"> 2nd Joint International Leadership Colloquium &amp;</t>
  </si>
  <si>
    <t xml:space="preserve">  :    954615</t>
  </si>
  <si>
    <t xml:space="preserve">      No. 29 Church Street</t>
  </si>
  <si>
    <t xml:space="preserve">  :   5 May 2010</t>
  </si>
  <si>
    <t xml:space="preserve">      Pinang Peranakan Mansion Sdn Bhd</t>
  </si>
  <si>
    <t xml:space="preserve">  :   V267/2010</t>
  </si>
  <si>
    <t>TOTAL:  RINGGIT One Thousand One Hundred and Twenty Three only.</t>
  </si>
  <si>
    <t>Rental of chairs, rostrum, PA system &amp; mic</t>
  </si>
  <si>
    <t xml:space="preserve"> 26.04.2010       Inv-00003432</t>
  </si>
  <si>
    <t>Launching at airport on 28.04. 2010</t>
  </si>
  <si>
    <t>Air Asia Penang-Chennai new route</t>
  </si>
  <si>
    <t>Rental of tables and chairs for dinner</t>
  </si>
  <si>
    <t xml:space="preserve"> 17.03.2010       Inv-00003325</t>
  </si>
  <si>
    <t>at Peranakan Mansion on 20.03.2010</t>
  </si>
  <si>
    <t>2nd Joint International Leadership Colloquium &amp;</t>
  </si>
  <si>
    <t xml:space="preserve">  :    954616</t>
  </si>
  <si>
    <t xml:space="preserve">      11200 Penang</t>
  </si>
  <si>
    <t xml:space="preserve">      675-B, Tanjung Bungah</t>
  </si>
  <si>
    <t xml:space="preserve">      Pinang Exhibition Equipment Centre</t>
  </si>
  <si>
    <t xml:space="preserve">  :   V268/2010</t>
  </si>
  <si>
    <t>Sponsorship</t>
  </si>
  <si>
    <t>pada 13 Jun 2010</t>
  </si>
  <si>
    <t>Sambutan Malam "Chang" Festival 2010</t>
  </si>
  <si>
    <t xml:space="preserve">  :    996988</t>
  </si>
  <si>
    <t xml:space="preserve">      22 Jalan Masjid Kapitan Keling</t>
  </si>
  <si>
    <t xml:space="preserve">      Dewan Perhimpunan Cina Pulau Pinang</t>
  </si>
  <si>
    <t xml:space="preserve">  :   V392/2010</t>
  </si>
  <si>
    <t>Penajaan pameran setem</t>
  </si>
  <si>
    <t>at Penang Museum from 15 Aug to 10 Sept 2009</t>
  </si>
  <si>
    <t>"The Penang Heritage Philatelic Exhibition"</t>
  </si>
  <si>
    <t xml:space="preserve">      14000 Bukit Mertajam</t>
  </si>
  <si>
    <t xml:space="preserve">  :    822764</t>
  </si>
  <si>
    <t xml:space="preserve">      Jalan Limau Manis Satu</t>
  </si>
  <si>
    <t xml:space="preserve">      Block 1-3-5, Taman Limau Manis</t>
  </si>
  <si>
    <t xml:space="preserve">  :   17 August 2009</t>
  </si>
  <si>
    <t xml:space="preserve">      Persatuan Setem Pulau Pinang</t>
  </si>
  <si>
    <t xml:space="preserve">  :   V114/2009</t>
  </si>
  <si>
    <t>TOTAL:  RINGGIT Four Hundred and Sixty Five only.</t>
  </si>
  <si>
    <t xml:space="preserve"> - Low Round table - 2 units</t>
  </si>
  <si>
    <t xml:space="preserve"> - Folding chairs - 10 units</t>
  </si>
  <si>
    <t xml:space="preserve"> - Information Counter - 3 units</t>
  </si>
  <si>
    <t>Rental of Furniture</t>
  </si>
  <si>
    <t xml:space="preserve">     52200 Kuala Lumpur</t>
  </si>
  <si>
    <t xml:space="preserve">  :    915190</t>
  </si>
  <si>
    <t xml:space="preserve">     Bandar Sri Damansara</t>
  </si>
  <si>
    <t xml:space="preserve">     Wisma Pico, 19-20 Jalan Tembaga SD 5/2</t>
  </si>
  <si>
    <t xml:space="preserve">      Pico International (M) Sdn Bhd</t>
  </si>
  <si>
    <t xml:space="preserve">  :   V145/2010</t>
  </si>
  <si>
    <t xml:space="preserve">Sponsorship  for purchase of 1 unit Motor boat </t>
  </si>
  <si>
    <t xml:space="preserve">      10503 Penang</t>
  </si>
  <si>
    <t xml:space="preserve">  :    954609</t>
  </si>
  <si>
    <t xml:space="preserve">      Heritage, Level 53 Komtar</t>
  </si>
  <si>
    <t xml:space="preserve">      Penang State Tourism Dev, Culture, Arts &amp;</t>
  </si>
  <si>
    <t xml:space="preserve">  :   30 April 2010</t>
  </si>
  <si>
    <t xml:space="preserve">      Penang International Dragon Boat Festival</t>
  </si>
  <si>
    <t xml:space="preserve">  :   V261/2010</t>
  </si>
  <si>
    <t>on 20 June 2010</t>
  </si>
  <si>
    <t>Dragon Boat competition in Melaka</t>
  </si>
  <si>
    <t>from June 24 - 28, 2010</t>
  </si>
  <si>
    <t>Dragon Boat competition in Guangzhou, China</t>
  </si>
  <si>
    <t xml:space="preserve">  :    996991</t>
  </si>
  <si>
    <t xml:space="preserve">      10400 Penang</t>
  </si>
  <si>
    <t xml:space="preserve">      74,  Kinta Lane</t>
  </si>
  <si>
    <t xml:space="preserve">      Penang Forward Sports Club</t>
  </si>
  <si>
    <t xml:space="preserve">  :   V395/2010</t>
  </si>
  <si>
    <t>Contribution</t>
  </si>
  <si>
    <t>on 4 July 2010</t>
  </si>
  <si>
    <t>Play - "The King and I"</t>
  </si>
  <si>
    <t xml:space="preserve">      Jalan Mesjid Negeri</t>
  </si>
  <si>
    <t xml:space="preserve">  :    996993</t>
  </si>
  <si>
    <t xml:space="preserve">      Penang Free School</t>
  </si>
  <si>
    <t xml:space="preserve">      c/o Mdm Malini Ganapathy</t>
  </si>
  <si>
    <t xml:space="preserve">      PFS Movie and Drama Society</t>
  </si>
  <si>
    <t xml:space="preserve">  :   V397/2010</t>
  </si>
  <si>
    <t>Sponsorship for the above event</t>
  </si>
  <si>
    <t xml:space="preserve"> 14.06.2009                </t>
  </si>
  <si>
    <t>1 - 13, September 2009</t>
  </si>
  <si>
    <t>oleh Persatuan Pelukis Cat Minyak Pulau Pinang</t>
  </si>
  <si>
    <t>Pameran Cat "Sense of Blooming"</t>
  </si>
  <si>
    <t xml:space="preserve">  :    845855</t>
  </si>
  <si>
    <t xml:space="preserve">     14000 Bukit Mertajam, Penang</t>
  </si>
  <si>
    <t xml:space="preserve">     No. 62-A, Jalan Tembikai</t>
  </si>
  <si>
    <t xml:space="preserve">     Persatuan Pelukis cat Minyak Pulau Pinang</t>
  </si>
  <si>
    <t xml:space="preserve">  :   V213/2009</t>
  </si>
  <si>
    <t>TOTAL:  RINGGIT Two Thousand and Four Hundred only.</t>
  </si>
  <si>
    <t>DVD Player</t>
  </si>
  <si>
    <t>Rental of 42" Plasma TV</t>
  </si>
  <si>
    <t xml:space="preserve"> 24.02.2010            P10/00024</t>
  </si>
  <si>
    <t xml:space="preserve">      50480 Kuala Lumpur</t>
  </si>
  <si>
    <t xml:space="preserve">  :    915189</t>
  </si>
  <si>
    <t xml:space="preserve">      No 41 Jalan Tun Ismail</t>
  </si>
  <si>
    <t xml:space="preserve">      Putra WorldTrade Centre</t>
  </si>
  <si>
    <t xml:space="preserve">      Putrade Property Management Sdn Bhd</t>
  </si>
  <si>
    <t xml:space="preserve">  :   V144/2010</t>
  </si>
  <si>
    <t>TOTAL:  RINGGIT Five Hundred Thirty and Sen Ninety Six only.</t>
  </si>
  <si>
    <t>TT charges</t>
  </si>
  <si>
    <t>Rp1,365,000 x 0.0367/100</t>
  </si>
  <si>
    <t>Hotel accommodation for Lydiawati Oon</t>
  </si>
  <si>
    <t xml:space="preserve"> 19.03.2010    517151</t>
  </si>
  <si>
    <t xml:space="preserve">Medan Fair </t>
  </si>
  <si>
    <t xml:space="preserve">      PO Box 1327 Medan</t>
  </si>
  <si>
    <t xml:space="preserve">      Jl Cut Meutia</t>
  </si>
  <si>
    <t xml:space="preserve">  :   2 June 2010</t>
  </si>
  <si>
    <t xml:space="preserve">      PT Tahta Medan QQ Hotel Tiara</t>
  </si>
  <si>
    <t xml:space="preserve">  :   V318/2010</t>
  </si>
  <si>
    <t>TOTAL:  RINGGIT Nineteen Thousand and Sixty Two only.</t>
  </si>
  <si>
    <t>Euro 4,000 x 4.7580</t>
  </si>
  <si>
    <t xml:space="preserve">Single page advertisement cost </t>
  </si>
  <si>
    <t>02.02.2010                UNS 1234</t>
  </si>
  <si>
    <t>UNESCO World Heritage Review Publication</t>
  </si>
  <si>
    <t xml:space="preserve">       Spain</t>
  </si>
  <si>
    <t xml:space="preserve">      46002 Valencia</t>
  </si>
  <si>
    <t xml:space="preserve">      C/San Vicente 16, 6-1</t>
  </si>
  <si>
    <t xml:space="preserve">  :   9 February 2010</t>
  </si>
  <si>
    <t xml:space="preserve">      Pressgroup Holdings Europe S. A</t>
  </si>
  <si>
    <t xml:space="preserve">  :   V087/2010</t>
  </si>
  <si>
    <t>TOTAL:  RINGGIT Seventeen Thousand Nine Hundred  Twenty and Sen Forty only.</t>
  </si>
  <si>
    <t>Balance 50% payment - S$7,250 x 2.4704</t>
  </si>
  <si>
    <t>Cost of partition for booths - S$14,500.00</t>
  </si>
  <si>
    <t xml:space="preserve"> 03.09.2009            33/0148/09</t>
  </si>
  <si>
    <t>from 9 - 11 September 2009</t>
  </si>
  <si>
    <t>"Penang Showcase" in Singapore</t>
  </si>
  <si>
    <t xml:space="preserve">          A/c No. 101-338-550-0)</t>
  </si>
  <si>
    <t xml:space="preserve">  :    Telegraphic Transfer</t>
  </si>
  <si>
    <t xml:space="preserve">      (Payable to United Oversea Bank Ltd</t>
  </si>
  <si>
    <t xml:space="preserve">       20 Kallang Avenue, Singapore</t>
  </si>
  <si>
    <t xml:space="preserve">  :   5 October 2009</t>
  </si>
  <si>
    <t xml:space="preserve">       Pico Art International Pte Ltd</t>
  </si>
  <si>
    <t xml:space="preserve">  :   V186/2009</t>
  </si>
  <si>
    <t>TOTAL:  RINGGIT Four Hundred and Twenty only.</t>
  </si>
  <si>
    <t>Delivery charges</t>
  </si>
  <si>
    <t>Printing of name card for Ms Lydiawati Oon</t>
  </si>
  <si>
    <t>Printing of name card for Ms Ooi Geok Ling</t>
  </si>
  <si>
    <t xml:space="preserve"> 03.11.2009                  00002177</t>
  </si>
  <si>
    <t xml:space="preserve">  :    867516</t>
  </si>
  <si>
    <t xml:space="preserve">      47300 Petaling Jaya, Selangor</t>
  </si>
  <si>
    <t xml:space="preserve">      29-M, Jalan SS2/64</t>
  </si>
  <si>
    <t xml:space="preserve">  :   28 December 2009</t>
  </si>
  <si>
    <t xml:space="preserve">      Print Station Network Sdn Bhd</t>
  </si>
  <si>
    <t xml:space="preserve">  :   V319/2009</t>
  </si>
  <si>
    <t>TOTAL:  RINGGIT One Hundred only.</t>
  </si>
  <si>
    <t>Petty cash float for office use</t>
  </si>
  <si>
    <t xml:space="preserve">  :    915220</t>
  </si>
  <si>
    <t xml:space="preserve">      </t>
  </si>
  <si>
    <t xml:space="preserve">      Sim Sze Min</t>
  </si>
  <si>
    <t xml:space="preserve">  :   V174/2010</t>
  </si>
  <si>
    <t>TOTAL:  RINGGIT Two Thousand Five Hundred and Five only.</t>
  </si>
  <si>
    <t>Rental of DVD Player</t>
  </si>
  <si>
    <t>Rental of Plasma TV 42"</t>
  </si>
  <si>
    <t>London from 9 - 12 November 2009</t>
  </si>
  <si>
    <t>World Travel Mart (WTM) 2009</t>
  </si>
  <si>
    <t xml:space="preserve">      52200 Kuala Lumpur</t>
  </si>
  <si>
    <t xml:space="preserve">  :    845883</t>
  </si>
  <si>
    <t xml:space="preserve">      Bandar Sri Damansara</t>
  </si>
  <si>
    <t xml:space="preserve">      35-1, Jalan Tanjung SD 13/1</t>
  </si>
  <si>
    <t xml:space="preserve">  :   3 November 2009</t>
  </si>
  <si>
    <t xml:space="preserve">      Qube Integrated Malaysia Sdn Bhd</t>
  </si>
  <si>
    <t xml:space="preserve">  :   V241/2009</t>
  </si>
  <si>
    <t>TOTAL:  RINGGIT One Hundred Three and Sen Sixty only.</t>
  </si>
  <si>
    <t>Mileage and parking fee for Feb 2010</t>
  </si>
  <si>
    <t xml:space="preserve">  :    915217</t>
  </si>
  <si>
    <t xml:space="preserve">      Pembantu Tadbir</t>
  </si>
  <si>
    <t xml:space="preserve">      Mohd Rizal bin Mohd Rodzi</t>
  </si>
  <si>
    <t xml:space="preserve">  :   V171/2010</t>
  </si>
  <si>
    <t xml:space="preserve">  :    845803</t>
  </si>
  <si>
    <t xml:space="preserve">      Rosnah binti Ahmad</t>
  </si>
  <si>
    <t xml:space="preserve">  :   V155/2009</t>
  </si>
  <si>
    <t>TOTAL:  RINGGIT Thirty Six only.</t>
  </si>
  <si>
    <t xml:space="preserve">Refreshment </t>
  </si>
  <si>
    <t xml:space="preserve"> 28.02.2010               239539</t>
  </si>
  <si>
    <t xml:space="preserve"> 17.02.2010               239538</t>
  </si>
  <si>
    <t xml:space="preserve"> 11.01.2010               239537</t>
  </si>
  <si>
    <t xml:space="preserve">  :    954590</t>
  </si>
  <si>
    <t xml:space="preserve">      PDC Canteen Caterer</t>
  </si>
  <si>
    <t xml:space="preserve">  :   15 April 2010</t>
  </si>
  <si>
    <t xml:space="preserve">      Rohani bt Redzuan</t>
  </si>
  <si>
    <t xml:space="preserve">  :   V239/2010</t>
  </si>
  <si>
    <t>TOTAL:  RINGGIT Eighty and Sen Sixty Five only.</t>
  </si>
  <si>
    <t>Allowance for period 11 Mar 2010 - 20 Mar 2010</t>
  </si>
  <si>
    <t xml:space="preserve"> Memo dated 27.01.2010</t>
  </si>
  <si>
    <t>for period from 11 January 2010 - 20 March 2010</t>
  </si>
  <si>
    <t xml:space="preserve">  :    915219</t>
  </si>
  <si>
    <t xml:space="preserve">      Rebecca Lim Xuan Hui</t>
  </si>
  <si>
    <t xml:space="preserve">  :   V173/2010</t>
  </si>
  <si>
    <t>Reception and kompang by 9-member team</t>
  </si>
  <si>
    <t xml:space="preserve"> 27.07.2009             </t>
  </si>
  <si>
    <t>on 27 July 2009</t>
  </si>
  <si>
    <t>passengers at Tanjung Marina, Penang</t>
  </si>
  <si>
    <t xml:space="preserve">Welcome reception for SuperStar Virgo </t>
  </si>
  <si>
    <t xml:space="preserve">  :    822767</t>
  </si>
  <si>
    <t xml:space="preserve">      11000 Balik Pulau, Penang</t>
  </si>
  <si>
    <t xml:space="preserve">      No. 9 Lebuh Sungai Burung 4,</t>
  </si>
  <si>
    <t xml:space="preserve">      Ruai Mutiara Entertainment</t>
  </si>
  <si>
    <t xml:space="preserve">  :   V117/2009</t>
  </si>
  <si>
    <t>TOTAL:  RINGGIT One Thousand Two Hundred and Forty only.</t>
  </si>
  <si>
    <t>RM155 x 8 rooms</t>
  </si>
  <si>
    <t>Accommodation - 8 Family rooms - 25 July 2009</t>
  </si>
  <si>
    <t xml:space="preserve"> 24.07.2009                 240709</t>
  </si>
  <si>
    <t xml:space="preserve"> - 25 July 2009</t>
  </si>
  <si>
    <t>National Chingay Competition</t>
  </si>
  <si>
    <t xml:space="preserve">  :    845853</t>
  </si>
  <si>
    <t xml:space="preserve">     10400 Penang</t>
  </si>
  <si>
    <t xml:space="preserve">     202-A Jalan Macalister</t>
  </si>
  <si>
    <t xml:space="preserve">     Red Rock Hotel Sdn Bhd</t>
  </si>
  <si>
    <t xml:space="preserve">  :   V211/2009</t>
  </si>
  <si>
    <t>TOTAL:  RINGGIT Eight Hundred and Fifty only.</t>
  </si>
  <si>
    <t>Video filming for Lion Dance</t>
  </si>
  <si>
    <t xml:space="preserve"> 03.10.2009                      1029</t>
  </si>
  <si>
    <t>Rental of Screen &amp; Projector - Esplanade</t>
  </si>
  <si>
    <t xml:space="preserve"> 03.10.2009                      1028</t>
  </si>
  <si>
    <t xml:space="preserve">  :    867553</t>
  </si>
  <si>
    <t xml:space="preserve">      No. 6 Tingkat Sungai Ara Dua</t>
  </si>
  <si>
    <t xml:space="preserve">  :   12 January 2010</t>
  </si>
  <si>
    <t xml:space="preserve">      Rain Productions</t>
  </si>
  <si>
    <t xml:space="preserve">  :   V007/2010</t>
  </si>
  <si>
    <t>TOTAL:  RINGGIT Two Thousand Seven Hundred Thirty and Sen Thirty Three only.</t>
  </si>
  <si>
    <t>Handphone claims (1.02.10 - 15.03.10)</t>
  </si>
  <si>
    <t>Purchase of stationery for office use</t>
  </si>
  <si>
    <t>Mileage claims &amp; parking fee for Feb &amp; Mar 10</t>
  </si>
  <si>
    <t xml:space="preserve">  :    915228</t>
  </si>
  <si>
    <t xml:space="preserve">      I/C No. 800107-07-5332</t>
  </si>
  <si>
    <t xml:space="preserve">      Ms Sim Sze Min</t>
  </si>
  <si>
    <t xml:space="preserve">  :   V181/2010</t>
  </si>
  <si>
    <t>TOTAL:  RINGGIT One Hundred and Seventy only.</t>
  </si>
  <si>
    <t>between PGT and PDC</t>
  </si>
  <si>
    <t xml:space="preserve">Stamping fee for Office Rental Agreement </t>
  </si>
  <si>
    <r>
      <t xml:space="preserve">Payable to </t>
    </r>
    <r>
      <rPr>
        <b/>
        <sz val="10"/>
        <rFont val="MS Sans Serif"/>
        <family val="2"/>
      </rPr>
      <t>Timbalan Pemungut Duti Setem</t>
    </r>
  </si>
  <si>
    <t>Application for bank draft:</t>
  </si>
  <si>
    <t xml:space="preserve">  :    776662</t>
  </si>
  <si>
    <t xml:space="preserve">  :   27 April 2009</t>
  </si>
  <si>
    <t xml:space="preserve">      CIMB Bank Berhad</t>
  </si>
  <si>
    <t xml:space="preserve">  :   V012/2009</t>
  </si>
  <si>
    <t>TOTAL:  RINGGIT Four Hundred Seventy Three and Sen Seventy only.</t>
  </si>
  <si>
    <t xml:space="preserve">  - Employee's portion</t>
  </si>
  <si>
    <t xml:space="preserve">  - Employer's portion</t>
  </si>
  <si>
    <t>for July 2010</t>
  </si>
  <si>
    <t>Payment for socso contribution for the salary</t>
  </si>
  <si>
    <t xml:space="preserve">  :    011934</t>
  </si>
  <si>
    <t xml:space="preserve">      Pertubuhan Keselamatan Sosial</t>
  </si>
  <si>
    <t xml:space="preserve">  :   V440/2010</t>
  </si>
  <si>
    <t>TOTAL:  RINGGIT Seven Hundred Sixty Six and Sen Forty Six only.</t>
  </si>
  <si>
    <t>Net Salary for March 22 - 31,  2010</t>
  </si>
  <si>
    <t xml:space="preserve">  :    954568</t>
  </si>
  <si>
    <t xml:space="preserve">      Communications &amp; Marketing Officer</t>
  </si>
  <si>
    <t xml:space="preserve">      Sharon Joanne Santhana</t>
  </si>
  <si>
    <t xml:space="preserve">  :   V218/2010</t>
  </si>
  <si>
    <t>TOTAL:  RINGGIT Two Hundred Eleven and Sen One only.</t>
  </si>
  <si>
    <t>Net Salary for March 29 - 31, 2010</t>
  </si>
  <si>
    <t xml:space="preserve">  :    954569</t>
  </si>
  <si>
    <t xml:space="preserve">      Personal Assistant</t>
  </si>
  <si>
    <t xml:space="preserve">      Sharon Khoo Suan Kim</t>
  </si>
  <si>
    <t xml:space="preserve">  :   V219/2010</t>
  </si>
  <si>
    <t>10250 Penang</t>
  </si>
  <si>
    <t>Jalan Kelawai</t>
  </si>
  <si>
    <t>18-30-A, 30th Floor, Gurmey Tower</t>
  </si>
  <si>
    <t xml:space="preserve">  :   07 March 20101</t>
  </si>
  <si>
    <t>Sterling Insurance Brokers Sdn Bhd</t>
  </si>
  <si>
    <t xml:space="preserve">  :    011913</t>
  </si>
  <si>
    <t xml:space="preserve">  :   V418/2010</t>
  </si>
  <si>
    <t>Six Hundred Sixty Seven and Cents Forty Five Only</t>
  </si>
  <si>
    <t>Tek Sen Restaurant</t>
  </si>
  <si>
    <t>The Sire</t>
  </si>
  <si>
    <t xml:space="preserve">Gem Restaurant </t>
  </si>
  <si>
    <t>F&amp;B FAM Trip in Penang</t>
  </si>
  <si>
    <t xml:space="preserve">  :    092174</t>
  </si>
  <si>
    <t>Bon Ton Sdn Bhd</t>
  </si>
  <si>
    <t xml:space="preserve">  :   V2011/149</t>
  </si>
  <si>
    <t>TOTAL:  RINGGIT Four Hundred and Thirty Three only.</t>
  </si>
  <si>
    <t>Blank Dvd-R - 100 pcs</t>
  </si>
  <si>
    <t>Kingston 8 GB Thumb-drive - 7 pcs x RM49</t>
  </si>
  <si>
    <t xml:space="preserve"> Quotation No PGT0001</t>
  </si>
  <si>
    <t xml:space="preserve">       11900 Penang</t>
  </si>
  <si>
    <t xml:space="preserve">  :    011914</t>
  </si>
  <si>
    <t xml:space="preserve">      Jalan Rumbia</t>
  </si>
  <si>
    <t xml:space="preserve">      3A-4-20 Kompleks Bukit Jambul</t>
  </si>
  <si>
    <t xml:space="preserve">      Swisspac Resources Sdn Bhd</t>
  </si>
  <si>
    <t xml:space="preserve">  :   V419/2010</t>
  </si>
  <si>
    <t xml:space="preserve">  :    915230</t>
  </si>
  <si>
    <t xml:space="preserve">      Shaikh Azmirul Azmil bin Shaikh Daud</t>
  </si>
  <si>
    <t xml:space="preserve">  :   V183/2010</t>
  </si>
  <si>
    <t xml:space="preserve">  :    915231</t>
  </si>
  <si>
    <t xml:space="preserve">      Susan Yeo Shu Zhen</t>
  </si>
  <si>
    <t xml:space="preserve">  :   V184/2010</t>
  </si>
  <si>
    <t xml:space="preserve">  :    915232</t>
  </si>
  <si>
    <t xml:space="preserve">      Siah Pei Tynn</t>
  </si>
  <si>
    <t xml:space="preserve">  :   V185/2010</t>
  </si>
  <si>
    <t>TOTAL:  RINGGIT Nineteen Thousand Five Hundred Fifty Seven and Sen Eighty only.</t>
  </si>
  <si>
    <t xml:space="preserve"> - Refreshment, Rela</t>
  </si>
  <si>
    <t xml:space="preserve"> - Backdrop, streamers &amp; flyers</t>
  </si>
  <si>
    <t xml:space="preserve"> - Chinese dance &amp; emcee, school band</t>
  </si>
  <si>
    <t xml:space="preserve">  &amp; chair</t>
  </si>
  <si>
    <t xml:space="preserve"> - canopy, barricade, tables, sound system</t>
  </si>
  <si>
    <t>Peruntukkan untuk penganjuran acara</t>
  </si>
  <si>
    <t xml:space="preserve"> 31.12.2009                  20160c        </t>
  </si>
  <si>
    <t>on 3 October 2009</t>
  </si>
  <si>
    <t>"Pesta Tanglung"</t>
  </si>
  <si>
    <t xml:space="preserve">  :    867552</t>
  </si>
  <si>
    <t xml:space="preserve">       11600 Penang</t>
  </si>
  <si>
    <t xml:space="preserve">       62 Jalan Mesjid Negeri</t>
  </si>
  <si>
    <t xml:space="preserve">       Spring Production And Art Studio</t>
  </si>
  <si>
    <t xml:space="preserve">  :   V006/2010</t>
  </si>
  <si>
    <t>"Aktivit Perayaan Dewa Seong Tay Kong"</t>
  </si>
  <si>
    <t xml:space="preserve"> 13.03.2010                       </t>
  </si>
  <si>
    <t xml:space="preserve">  :    954594</t>
  </si>
  <si>
    <t xml:space="preserve">       Lot 770, Lebuhraya Jelutong</t>
  </si>
  <si>
    <t xml:space="preserve">  :   23 April 2010</t>
  </si>
  <si>
    <t xml:space="preserve">       Persatuan Penganut Dewa Seong Tay Kong</t>
  </si>
  <si>
    <t xml:space="preserve">  :   V243/2010</t>
  </si>
  <si>
    <t>TOTAL:  RINGGIT Eight Thousand only.</t>
  </si>
  <si>
    <t>from June 11 - 13, 2010</t>
  </si>
  <si>
    <t>ICT -  Penang Scrabble Open 2010</t>
  </si>
  <si>
    <t xml:space="preserve">        10450 Penang</t>
  </si>
  <si>
    <t xml:space="preserve">  :    011912</t>
  </si>
  <si>
    <t xml:space="preserve">        Medan Lumba Kuda, </t>
  </si>
  <si>
    <t xml:space="preserve">       18-15-03, Scotland Villa</t>
  </si>
  <si>
    <t xml:space="preserve">  :   14 July 2010</t>
  </si>
  <si>
    <t xml:space="preserve">       Kelab Scrabble Pulau Pinang</t>
  </si>
  <si>
    <t xml:space="preserve">  :   V416/2010</t>
  </si>
  <si>
    <t>TOTAL:  RINGGIT Three Thousand Three Hundred and Forty only.</t>
  </si>
  <si>
    <t>Backhoe &amp; real earth on 3.5.2010</t>
  </si>
  <si>
    <t>Rental of Gen set &amp; spot light on 1.5.2010</t>
  </si>
  <si>
    <t xml:space="preserve"> 03.05.2010            SK05001/10</t>
  </si>
  <si>
    <t>Rental of Gen set on 3.4.2010</t>
  </si>
  <si>
    <t xml:space="preserve"> 28.02.2010            SK04151/10</t>
  </si>
  <si>
    <t>Esplanade in Action</t>
  </si>
  <si>
    <t xml:space="preserve">  :    954662</t>
  </si>
  <si>
    <t xml:space="preserve">     11700 Penang</t>
  </si>
  <si>
    <t xml:space="preserve">      No. 24 Lorong Batu Uban 2,</t>
  </si>
  <si>
    <t xml:space="preserve">  :   31 May 2010</t>
  </si>
  <si>
    <t xml:space="preserve">      Sin Kung Movers Sdn Bhd</t>
  </si>
  <si>
    <t xml:space="preserve">  :   V315/2010</t>
  </si>
  <si>
    <t xml:space="preserve"> 15.03.2010                 003</t>
  </si>
  <si>
    <t>at Esplanade on 24 April 2010</t>
  </si>
  <si>
    <t>Hari Terbuka Vasakhi 2010</t>
  </si>
  <si>
    <t xml:space="preserve">  :    954656</t>
  </si>
  <si>
    <t xml:space="preserve">      Penang branch</t>
  </si>
  <si>
    <t xml:space="preserve">      Sikh Naujawan Sabha Malaysia</t>
  </si>
  <si>
    <t xml:space="preserve">  :   V309/2010</t>
  </si>
  <si>
    <t>TOTAL:  RINGGIT One Thousand and One  Hundred only.</t>
  </si>
  <si>
    <t xml:space="preserve">   pada 1 Julai 2009</t>
  </si>
  <si>
    <t xml:space="preserve">   penerbangan Jetstar dari Singapura ke Penang</t>
  </si>
  <si>
    <t xml:space="preserve"> - sempena unutk menyambut pelacong Australia </t>
  </si>
  <si>
    <t>Sambutan Kumpulan Kebudayaan dan Kompang</t>
  </si>
  <si>
    <t xml:space="preserve">  1.7.2009    </t>
  </si>
  <si>
    <t xml:space="preserve">  :    822717</t>
  </si>
  <si>
    <t xml:space="preserve">      10460 Penang</t>
  </si>
  <si>
    <t xml:space="preserve">      36-A Jalan Rawang</t>
  </si>
  <si>
    <t xml:space="preserve">  :   10 July 2009</t>
  </si>
  <si>
    <t xml:space="preserve">      Sharifah Nur Firdaus bt Sayed Yasin</t>
  </si>
  <si>
    <t xml:space="preserve">  :   V067/2009</t>
  </si>
  <si>
    <t>Nyonya dance performance</t>
  </si>
  <si>
    <t>Esplanade</t>
  </si>
  <si>
    <t>Mooncake Festival</t>
  </si>
  <si>
    <t xml:space="preserve">  :    915211</t>
  </si>
  <si>
    <t xml:space="preserve">     10150 Penang</t>
  </si>
  <si>
    <t xml:space="preserve">     No. 13, Jalan Perak</t>
  </si>
  <si>
    <t xml:space="preserve">     State Chinese (Penang) Association</t>
  </si>
  <si>
    <t xml:space="preserve">  :   V165/2010</t>
  </si>
  <si>
    <t>TOTAL:  RINGGIT Fifteen Thousand Eight Hundred Eighty Six and Sen Eight only.</t>
  </si>
  <si>
    <t>x 2.4669</t>
  </si>
  <si>
    <t>S$6,435.64</t>
  </si>
  <si>
    <t>S$1,263.75</t>
  </si>
  <si>
    <t>Accommodation</t>
  </si>
  <si>
    <t xml:space="preserve"> 02.09.09                100400R14313</t>
  </si>
  <si>
    <t>S$1,891.02</t>
  </si>
  <si>
    <t xml:space="preserve"> 02.09.09                100400R14312</t>
  </si>
  <si>
    <t xml:space="preserve"> 02.09.09                100400R14311</t>
  </si>
  <si>
    <t>S$1,349.85</t>
  </si>
  <si>
    <t xml:space="preserve"> 02.09.09                100400R14310</t>
  </si>
  <si>
    <t xml:space="preserve">          A/c No. 0/820946/006)</t>
  </si>
  <si>
    <t xml:space="preserve">      (Payable to Citibnak N.A.</t>
  </si>
  <si>
    <t xml:space="preserve">       Robinson Road Post Office P.O.Box 1427, Singapore</t>
  </si>
  <si>
    <t xml:space="preserve">  :   4 September 2009</t>
  </si>
  <si>
    <t xml:space="preserve">      Somerset Compass</t>
  </si>
  <si>
    <t xml:space="preserve">  :   V157/2009</t>
  </si>
  <si>
    <t>TOTAL:  RINGGIT Six Hundred and Forty Only</t>
  </si>
  <si>
    <t>May Garden Dinner Sponsored</t>
  </si>
  <si>
    <t>142352</t>
  </si>
  <si>
    <t>FAM PSA'S INDIA STAR CRUISE</t>
  </si>
  <si>
    <t>Tel : 04-2616435</t>
  </si>
  <si>
    <t xml:space="preserve">  :    092147</t>
  </si>
  <si>
    <t>10000 Penang</t>
  </si>
  <si>
    <t>70, Penang Road</t>
  </si>
  <si>
    <t>Sunrise Perspective Sdn Bhd</t>
  </si>
  <si>
    <t xml:space="preserve">  :   V2011/124</t>
  </si>
  <si>
    <t>Sim Kok Jiun</t>
  </si>
  <si>
    <t>T.M. Sundram</t>
  </si>
  <si>
    <t>Golf Tournament on 18 April 2010</t>
  </si>
  <si>
    <t xml:space="preserve">with Tourism Malaysia-Dragon Tour 2010 </t>
  </si>
  <si>
    <t>Contribution for dinner in conjunction</t>
  </si>
  <si>
    <t xml:space="preserve">  :    954591</t>
  </si>
  <si>
    <t xml:space="preserve">      Komtar Hotel Sdn Bhd</t>
  </si>
  <si>
    <t xml:space="preserve">  :   V240/2010</t>
  </si>
  <si>
    <t>TOTAL:  RINGGIT One Hundred and Sixty only.</t>
  </si>
  <si>
    <t>(SGD64)</t>
  </si>
  <si>
    <t>Internet charges in Singapore</t>
  </si>
  <si>
    <t xml:space="preserve">  :    845899</t>
  </si>
  <si>
    <t xml:space="preserve">      Tay Kar Bee</t>
  </si>
  <si>
    <t xml:space="preserve">  :   V257/2009</t>
  </si>
  <si>
    <t>Peruntukkan untuk acara Pesta Tanglung</t>
  </si>
  <si>
    <t xml:space="preserve"> 23.08.2009            </t>
  </si>
  <si>
    <t>3 October 2009</t>
  </si>
  <si>
    <t>Pesta Tanglung (Mooncake Festival)</t>
  </si>
  <si>
    <t xml:space="preserve">  :    845858</t>
  </si>
  <si>
    <t xml:space="preserve">     12300 Butterworth</t>
  </si>
  <si>
    <t xml:space="preserve">      Lot 894 &amp; 896, Mukim 14, Jalan Raja Uda</t>
  </si>
  <si>
    <t xml:space="preserve">      Rumah Berhala Tow Boo Kong Butterworth</t>
  </si>
  <si>
    <t xml:space="preserve">  :   V216/2009</t>
  </si>
  <si>
    <t>TOTAL:  RINGGIT Six Thousand Only.</t>
  </si>
  <si>
    <t>[ PGT -SO/0166/2010TI]</t>
  </si>
  <si>
    <t>on 16 August  2010</t>
  </si>
  <si>
    <t>Lunch session at Holiday Inn - 60pax</t>
  </si>
  <si>
    <t>City Tour  &amp; Transport Cost</t>
  </si>
  <si>
    <t xml:space="preserve">  15.08.2010    184009</t>
  </si>
  <si>
    <t>HERITAGE TOUR &amp; LUNCH</t>
  </si>
  <si>
    <t xml:space="preserve">     Tel : 04-8998833</t>
  </si>
  <si>
    <t xml:space="preserve">  :    011974</t>
  </si>
  <si>
    <t xml:space="preserve">      28-2-1, Jalan Tanjung Tokong</t>
  </si>
  <si>
    <t xml:space="preserve">  :   17 August 2010</t>
  </si>
  <si>
    <t xml:space="preserve">      Tour &amp; Incentive Travel Sdn Bhd</t>
  </si>
  <si>
    <t xml:space="preserve">  :   V478/2010</t>
  </si>
  <si>
    <t>TOTAL:  RINGGIT Seventeen Thousand and Fifty only.</t>
  </si>
  <si>
    <t>Refundable Deposit</t>
  </si>
  <si>
    <t>Cost of booths (2 units)</t>
  </si>
  <si>
    <t xml:space="preserve"> 11.06.2009            EE 25</t>
  </si>
  <si>
    <t>KLCC from October 17 - 18, 2009</t>
  </si>
  <si>
    <t>"Expat Eco Expo 2009"</t>
  </si>
  <si>
    <t xml:space="preserve">       59100 Kuala Lumpur</t>
  </si>
  <si>
    <t xml:space="preserve">  :    845830</t>
  </si>
  <si>
    <t xml:space="preserve">       Jalan Kapas, Bangsar</t>
  </si>
  <si>
    <t xml:space="preserve">       7th Floor, Syed Kechik Foundation Building</t>
  </si>
  <si>
    <t xml:space="preserve">  :   7 October 2009</t>
  </si>
  <si>
    <t xml:space="preserve">       Tri-Concepts Sdn Bhd</t>
  </si>
  <si>
    <t xml:space="preserve">  :   V188/2009</t>
  </si>
  <si>
    <t>Insurance Coverage for:</t>
  </si>
  <si>
    <t>Tel : 03-2693 8111    Fax : 03-2693 0111</t>
  </si>
  <si>
    <t>50250 Kuala Lumpur</t>
  </si>
  <si>
    <t>1008, Jalan Sultan Ismail</t>
  </si>
  <si>
    <t xml:space="preserve">9th Floor, Menara Uni.Asia </t>
  </si>
  <si>
    <t>Uni. Asia General Insurance Berhad</t>
  </si>
  <si>
    <t>TOTAL:  RINGGIT Four Thousand and Six Hundred only.</t>
  </si>
  <si>
    <t>with logo embroidery  (50 pcs x RM22.00)</t>
  </si>
  <si>
    <t>Polo Lascoste Collar White T-Shirts</t>
  </si>
  <si>
    <t xml:space="preserve"> - 500 pcs x RM7.00</t>
  </si>
  <si>
    <t>Round neck T-Shirts "Cleaner Greener Penang"</t>
  </si>
  <si>
    <t xml:space="preserve">  20.05.2010       INV1005/036</t>
  </si>
  <si>
    <t xml:space="preserve">  :    954689</t>
  </si>
  <si>
    <t xml:space="preserve">      No. 60 Aboo Siti Lane</t>
  </si>
  <si>
    <t xml:space="preserve">      U-Can Marketing Sdn Bhd</t>
  </si>
  <si>
    <t xml:space="preserve">  :   V344/2010</t>
  </si>
  <si>
    <t>Peruntukkan untuk acara</t>
  </si>
  <si>
    <t>Cenotaph, Esplanade in 7 February 2010</t>
  </si>
  <si>
    <t xml:space="preserve">Veterans &amp; Final Remembrance at </t>
  </si>
  <si>
    <t xml:space="preserve">Visit of British Pacific/East Indies Fleet </t>
  </si>
  <si>
    <t xml:space="preserve">      11700 Glugor, Penang</t>
  </si>
  <si>
    <t xml:space="preserve">  :    954556</t>
  </si>
  <si>
    <t xml:space="preserve">      Bukit Glugor</t>
  </si>
  <si>
    <t xml:space="preserve">      232,  Solok Pemancar</t>
  </si>
  <si>
    <t xml:space="preserve">      Persatuan Veteran Keselamatan Pulau Pinang</t>
  </si>
  <si>
    <t xml:space="preserve">  :   V206/2010</t>
  </si>
  <si>
    <t xml:space="preserve">  :    915234</t>
  </si>
  <si>
    <t xml:space="preserve">      Vivien Ong Chew Fei</t>
  </si>
  <si>
    <t xml:space="preserve">  :   V187/2010</t>
  </si>
  <si>
    <t>TOTAL:  RINGGIT Twenty Eight Thousand Six Hundred Eighty One and Sen Twenty Five only.</t>
  </si>
  <si>
    <t xml:space="preserve"> 16.11.2009            </t>
  </si>
  <si>
    <t xml:space="preserve"> 26 &amp; 27 September 2009</t>
  </si>
  <si>
    <t>"International Lion Dance On Stilts Competition"</t>
  </si>
  <si>
    <t xml:space="preserve">  :    867568</t>
  </si>
  <si>
    <t xml:space="preserve">      c/o Room 205 (2nd Floor)</t>
  </si>
  <si>
    <t xml:space="preserve">         Tarian Singa dan Naga Negeri Pulau Pinang</t>
  </si>
  <si>
    <t xml:space="preserve">  :   14 January 2010</t>
  </si>
  <si>
    <t xml:space="preserve">       Persekutuan Persatuan-Persatuan Wushu,</t>
  </si>
  <si>
    <t xml:space="preserve">  :   V022/2010</t>
  </si>
  <si>
    <t>TOTAL:  RINGGIT Ninety Two and sen Forty only.</t>
  </si>
  <si>
    <t>Mileage claim &amp; parking fee Feb 2010</t>
  </si>
  <si>
    <t xml:space="preserve">  :    915154</t>
  </si>
  <si>
    <t xml:space="preserve">  :   24 February 2010</t>
  </si>
  <si>
    <t xml:space="preserve">      Yuszarudin bin Yusop</t>
  </si>
  <si>
    <t xml:space="preserve">  :   V110/2010</t>
  </si>
  <si>
    <t>TOTAL:  RINGGIT Twelve Thousand Seven Hundred Forty Three and Sen Eighty Seven only.</t>
  </si>
  <si>
    <t>S$5154.58 x 2.4704</t>
  </si>
  <si>
    <t>S$5154.58</t>
  </si>
  <si>
    <t>S$    35.03</t>
  </si>
  <si>
    <t>Photocopy &amp; printing</t>
  </si>
  <si>
    <t>S$  711.17</t>
  </si>
  <si>
    <t>Refreshment</t>
  </si>
  <si>
    <t>S$1882.75</t>
  </si>
  <si>
    <t>Lunch hosting for 62 pax</t>
  </si>
  <si>
    <t>S$2525.63</t>
  </si>
  <si>
    <t xml:space="preserve">Hotel Accommodation </t>
  </si>
  <si>
    <t xml:space="preserve">          A/c No. 03-075-1186-3)</t>
  </si>
  <si>
    <t xml:space="preserve">      (Payable to Standard Chartered Bank</t>
  </si>
  <si>
    <t xml:space="preserve">       21 Mount Elizabeth, Singapore</t>
  </si>
  <si>
    <t xml:space="preserve">      York Hotel Pte Ltd</t>
  </si>
  <si>
    <t xml:space="preserve">  :   V185/2009</t>
  </si>
  <si>
    <t>TOTAL:  RINGGIT Four Thousand Five Hundred and Thirty only.</t>
  </si>
  <si>
    <t>3</t>
  </si>
  <si>
    <t>Meal Allowance (Per diem) - RM255 x 6 days</t>
  </si>
  <si>
    <t>in London from 9 - 12 November 2009</t>
  </si>
  <si>
    <t>World Travel Market (WTM) 2009</t>
  </si>
  <si>
    <t xml:space="preserve">  :    845881</t>
  </si>
  <si>
    <t xml:space="preserve">  :   30 October 2009</t>
  </si>
  <si>
    <t xml:space="preserve">  :   V239/2009</t>
  </si>
  <si>
    <t xml:space="preserve">Sumbangan </t>
  </si>
  <si>
    <t>pada 12 Mei 2010</t>
  </si>
  <si>
    <t>Perayaan Hari Lahir Dewa Pek Kong</t>
  </si>
  <si>
    <t xml:space="preserve">  :    954660</t>
  </si>
  <si>
    <t xml:space="preserve">     Taman Alma, Bukit Mertajam</t>
  </si>
  <si>
    <t xml:space="preserve">      Persatuan Penganut Dewa Hock Teik Tua Pek Kong</t>
  </si>
  <si>
    <t xml:space="preserve">  :   V313/2010</t>
  </si>
  <si>
    <t>TOTAL:  RINGGIT Ninety Eight Thousand Five Hundred and Ninety Two only.</t>
  </si>
  <si>
    <t xml:space="preserve">  and performance fee</t>
  </si>
  <si>
    <t xml:space="preserve">  Toilets, PA system, security</t>
  </si>
  <si>
    <t xml:space="preserve"> -Canopy, Stage, Furniture, Lighting</t>
  </si>
  <si>
    <t>Rental fee for Gchap Goh Meh Function</t>
  </si>
  <si>
    <t xml:space="preserve">  28.02.2010             pbr021/10</t>
  </si>
  <si>
    <t>Chap Goh Meh on February 27 - 28, 2010</t>
  </si>
  <si>
    <t>MyPenang Reunion Celebration &amp;</t>
  </si>
  <si>
    <t xml:space="preserve">  :    954654</t>
  </si>
  <si>
    <t xml:space="preserve">      Unit 1-3-3, No. 1 Jalan P. Ramlee</t>
  </si>
  <si>
    <t xml:space="preserve">      PSA Equipment Sdn Bhd</t>
  </si>
  <si>
    <t xml:space="preserve">  :   V307/2010</t>
  </si>
  <si>
    <t xml:space="preserve"> - Round base &amp; laser (RM50 x 2 pcs)</t>
  </si>
  <si>
    <t>Repair of Trishaw</t>
  </si>
  <si>
    <t xml:space="preserve"> 11.11.2009         020241/INV</t>
  </si>
  <si>
    <t xml:space="preserve">  :    867551</t>
  </si>
  <si>
    <t xml:space="preserve">      14000 Bukit Mertajam, Penang</t>
  </si>
  <si>
    <t xml:space="preserve">      Lot 528 Kampung Juru</t>
  </si>
  <si>
    <t xml:space="preserve">      Pewter Art Trophy Manufacturers Sdn Bhd</t>
  </si>
  <si>
    <t xml:space="preserve">  :   V005/2010</t>
  </si>
  <si>
    <t>TOTAL:  RINGGIT One Thousand and Two Hundred only.</t>
  </si>
  <si>
    <t>Punjabi Folk dance performance</t>
  </si>
  <si>
    <t>Dinner at Khoo Kongsi on 18 Nov 2009</t>
  </si>
  <si>
    <t>Raja Muda International Regatta 2009</t>
  </si>
  <si>
    <t xml:space="preserve">      11500 Air Itam, Penang</t>
  </si>
  <si>
    <t xml:space="preserve">  :    867521</t>
  </si>
  <si>
    <t xml:space="preserve">      410-O Lorong Taman Cantik 3</t>
  </si>
  <si>
    <t xml:space="preserve">      Punjaban jatti Dance Group</t>
  </si>
  <si>
    <t xml:space="preserve">      Simarjeet Kaur</t>
  </si>
  <si>
    <t xml:space="preserve">  :   V324/2009</t>
  </si>
  <si>
    <t>Peruntukan</t>
  </si>
  <si>
    <t>on 25.07.2010 at Taman Perbandaran PP</t>
  </si>
  <si>
    <t>Larian Keamanan (Peace Run)</t>
  </si>
  <si>
    <t>TOTAL:  RINGGIT Ninety Nine Thousand and Five Hundred only.</t>
  </si>
  <si>
    <t xml:space="preserve">Less: Sponsorship </t>
  </si>
  <si>
    <t>Less: Good return (799 pcs x RM16.00)</t>
  </si>
  <si>
    <t xml:space="preserve"> - 7489 pcs x RM16.00</t>
  </si>
  <si>
    <t>Brooks Running Vest</t>
  </si>
  <si>
    <t xml:space="preserve"> 29.12.2009        GCS 20091229       </t>
  </si>
  <si>
    <t>22 November 2009</t>
  </si>
  <si>
    <t>Penang Bridge International Marathon 2009</t>
  </si>
  <si>
    <t xml:space="preserve">      47200 Petaling Jaya, Selangor</t>
  </si>
  <si>
    <t xml:space="preserve">  :    867585</t>
  </si>
  <si>
    <t xml:space="preserve">     Taman Perindustrian Jaya</t>
  </si>
  <si>
    <t xml:space="preserve">      No. 1 Jalan PJU 1A/13</t>
  </si>
  <si>
    <t xml:space="preserve">  :   18 January 2010</t>
  </si>
  <si>
    <t xml:space="preserve">      Paragon Vest Sdn Bhd</t>
  </si>
  <si>
    <t xml:space="preserve">  :   V039/2010</t>
  </si>
  <si>
    <t>TOTAL:  RINGGIT Fifty Thousand only.</t>
  </si>
  <si>
    <t xml:space="preserve"> 15.10.2009</t>
  </si>
  <si>
    <t>Dancing championship on 28.11.2009</t>
  </si>
  <si>
    <t>16th Penang International Ballroom</t>
  </si>
  <si>
    <t xml:space="preserve">  :    915138</t>
  </si>
  <si>
    <t xml:space="preserve">      10450 Penang</t>
  </si>
  <si>
    <t xml:space="preserve">      119 Jalan York</t>
  </si>
  <si>
    <t xml:space="preserve">  :   11 February 2010</t>
  </si>
  <si>
    <t xml:space="preserve">      Penang International Ballroom Dancing Championship</t>
  </si>
  <si>
    <t xml:space="preserve">  :   V094/2010</t>
  </si>
  <si>
    <t>TOTAL:  RINGGIT Fifty Thousand  only.</t>
  </si>
  <si>
    <t>Grand Float Procession on 28 February 2010</t>
  </si>
  <si>
    <t xml:space="preserve">Poh Hock Seah Twa Peh Kong  </t>
  </si>
  <si>
    <t xml:space="preserve">  :    915169</t>
  </si>
  <si>
    <t xml:space="preserve">      57 Lebuh Armenian</t>
  </si>
  <si>
    <t xml:space="preserve">      Poh Hock Seah</t>
  </si>
  <si>
    <t xml:space="preserve">  :   V125/2010</t>
  </si>
  <si>
    <t>TOTAL:  RINGGIT One Thousand Five Hundred and Fifty only.</t>
  </si>
  <si>
    <t>[PGT- so/0157 &amp; so/0157a]</t>
  </si>
  <si>
    <t>Text Convertion Art Work</t>
  </si>
  <si>
    <t xml:space="preserve"> 30.07.2010                  A202</t>
  </si>
  <si>
    <t>10,000pcs</t>
  </si>
  <si>
    <t>105gm Art Paper</t>
  </si>
  <si>
    <t>both side full color printing</t>
  </si>
  <si>
    <t xml:space="preserve">Printing for A4 Flyer </t>
  </si>
  <si>
    <t>"Road to Dawn Flyer"</t>
  </si>
  <si>
    <t xml:space="preserve">  :    011948</t>
  </si>
  <si>
    <t xml:space="preserve">       10400 Penang</t>
  </si>
  <si>
    <t xml:space="preserve">      46-2A, Lorong Selamat</t>
  </si>
  <si>
    <t xml:space="preserve">      Panca Design</t>
  </si>
  <si>
    <t xml:space="preserve">  :   V454/2010</t>
  </si>
  <si>
    <t>TOTAL:  RINGGIT Eight Thousand and Two Hundred only.</t>
  </si>
  <si>
    <t xml:space="preserve"> 20.01.2010       1410 (CLASS 41)</t>
  </si>
  <si>
    <t xml:space="preserve"> 20.01.2010       1409 (CLASS 32)</t>
  </si>
  <si>
    <t xml:space="preserve"> 20.01.2010       1408 (CLASS 25)</t>
  </si>
  <si>
    <t xml:space="preserve"> 20.01.2010       1407 (CLASS 24)</t>
  </si>
  <si>
    <t xml:space="preserve"> 20.01.2010       1406 (CLASS 21)</t>
  </si>
  <si>
    <t xml:space="preserve"> 20.01.2010       1405 (CLASS 20)</t>
  </si>
  <si>
    <t xml:space="preserve"> 20.01.2010       1404 (CLASS 18)</t>
  </si>
  <si>
    <t>Disbursements</t>
  </si>
  <si>
    <t xml:space="preserve"> 20.01.2010       1403 (CLASS 16)</t>
  </si>
  <si>
    <t>5% Service Tax</t>
  </si>
  <si>
    <t xml:space="preserve"> 20.01.2010       1402 (CLASS 14)</t>
  </si>
  <si>
    <t>Professional fees</t>
  </si>
  <si>
    <t xml:space="preserve"> 20.01.2010       1401 (CLASS 06)</t>
  </si>
  <si>
    <t>Registration</t>
  </si>
  <si>
    <t>from Bah Guaman, PDC</t>
  </si>
  <si>
    <t>CAT Mascot - New Trade Mark Application</t>
  </si>
  <si>
    <t>Memo dated 19.03.2010</t>
  </si>
  <si>
    <t xml:space="preserve">       10350 Penang</t>
  </si>
  <si>
    <t xml:space="preserve">  :    915247</t>
  </si>
  <si>
    <t xml:space="preserve">      Jalan Burma</t>
  </si>
  <si>
    <t xml:space="preserve">      368-3-1 &amp; 2, Bellisa Row</t>
  </si>
  <si>
    <t xml:space="preserve">      Peter Huang &amp; Richard</t>
  </si>
  <si>
    <t xml:space="preserve">  :   V190/2010</t>
  </si>
  <si>
    <t>TOTAL:  RINGGIT Six Hundred and Fifty only.</t>
  </si>
  <si>
    <t>Shipping charges - Euro 150 x 4.270</t>
  </si>
  <si>
    <t xml:space="preserve"> 12.04.2010         PO/0022/10/PG</t>
  </si>
  <si>
    <t>UNESCO World Heritage Review 55</t>
  </si>
  <si>
    <t xml:space="preserve">      Valencia Spain</t>
  </si>
  <si>
    <t xml:space="preserve">      Pasaje Dr Serra 2</t>
  </si>
  <si>
    <t xml:space="preserve">  :   29 April 2010</t>
  </si>
  <si>
    <t xml:space="preserve">      Pressgroup Holdings Europe S.A.</t>
  </si>
  <si>
    <t xml:space="preserve">  :   V257/2010</t>
  </si>
  <si>
    <t>String trio performance</t>
  </si>
  <si>
    <t xml:space="preserve">  26.01.2010              </t>
  </si>
  <si>
    <t>in Nov 09</t>
  </si>
  <si>
    <t>Dato' Jimmy Choo at Suffolk House</t>
  </si>
  <si>
    <t xml:space="preserve">  :    915109</t>
  </si>
  <si>
    <t xml:space="preserve">      I/C No. 660926-07-5326</t>
  </si>
  <si>
    <t xml:space="preserve">  :   2 February 2010</t>
  </si>
  <si>
    <t xml:space="preserve">      Ong Bee Lee</t>
  </si>
  <si>
    <t xml:space="preserve">  :   V063/2010</t>
  </si>
  <si>
    <t>held at Mariamman Temple, Butterworth</t>
  </si>
  <si>
    <t>Celebration of Ponggal 2010</t>
  </si>
  <si>
    <t xml:space="preserve">  :    915209</t>
  </si>
  <si>
    <t xml:space="preserve">      10000 Penang</t>
  </si>
  <si>
    <t xml:space="preserve">      Paras 30, KOMTAR</t>
  </si>
  <si>
    <t xml:space="preserve">      Lembaga Wakaf Hindu Negeri Pulau Pinang</t>
  </si>
  <si>
    <t xml:space="preserve">  :   V163/2010</t>
  </si>
  <si>
    <t>TOTAL:  RINGGIT Two Thousand Two Hundred and Fifty only.</t>
  </si>
  <si>
    <t>Cost of dinner - RM45 x 50 pax</t>
  </si>
  <si>
    <t>on 28 June 2010</t>
  </si>
  <si>
    <t>for Advanced Management (AISAM) 2010</t>
  </si>
  <si>
    <t xml:space="preserve">MBA Students for Programme Asian Intensive </t>
  </si>
  <si>
    <t xml:space="preserve">  :    996960</t>
  </si>
  <si>
    <t xml:space="preserve">      Kelawei Road</t>
  </si>
  <si>
    <t xml:space="preserve">  :   23 June 2010</t>
  </si>
  <si>
    <t xml:space="preserve">      Perut Rumah Nyonya Cuisine</t>
  </si>
  <si>
    <t xml:space="preserve">  :   V365/2010</t>
  </si>
  <si>
    <t>TOTAL:  RINGGIT One Thousand and Eight Hundred only.</t>
  </si>
  <si>
    <t>Traditional dance performance</t>
  </si>
  <si>
    <t xml:space="preserve">  :    996961</t>
  </si>
  <si>
    <t xml:space="preserve">      Zaiton binti Abdul Latiff</t>
  </si>
  <si>
    <t xml:space="preserve">  :   V366/2010</t>
  </si>
  <si>
    <t xml:space="preserve"> 29.10.2009       RPG/DN09-10-11</t>
  </si>
  <si>
    <t>on 1 Aug 2009</t>
  </si>
  <si>
    <t>Rapid Penang Fiesta 2009</t>
  </si>
  <si>
    <t>Rapid Penang 2nd Anniversary</t>
  </si>
  <si>
    <t xml:space="preserve">  :    867549</t>
  </si>
  <si>
    <t xml:space="preserve">      Lorong Kulit</t>
  </si>
  <si>
    <t xml:space="preserve">      Rapid Penang Sdn Bhd</t>
  </si>
  <si>
    <t xml:space="preserve">  :   V003/2010</t>
  </si>
  <si>
    <t>TOTAL:  RINGGIT Five Thousand and Five Hundred only.</t>
  </si>
  <si>
    <t>Kos membiayai kereta berhias</t>
  </si>
  <si>
    <t>di Padang Kota Lama</t>
  </si>
  <si>
    <t>'Kereta Berhias sempena Pesta Tanglung'</t>
  </si>
  <si>
    <t xml:space="preserve">  :    867494</t>
  </si>
  <si>
    <t xml:space="preserve">      Gat Lebuh Macallum</t>
  </si>
  <si>
    <t xml:space="preserve">      Kontena between Blk 352 &amp; 354</t>
  </si>
  <si>
    <t xml:space="preserve">      Persatuan Penduduk Gat Lebuh Macallum</t>
  </si>
  <si>
    <t xml:space="preserve">  :   V297/2009</t>
  </si>
  <si>
    <t>TOTAL:  RINGGIT Four Thousand Eight Hundred and Fifty only.</t>
  </si>
  <si>
    <t>Durian feast at Balik Pulau</t>
  </si>
  <si>
    <t>Taiwan Government Officials visit on 6 June 2010</t>
  </si>
  <si>
    <t>in China on 15 May 2010</t>
  </si>
  <si>
    <t xml:space="preserve">TV advertisement promotion for Penang </t>
  </si>
  <si>
    <t xml:space="preserve">"Guang Dong Southern" China TV Station </t>
  </si>
  <si>
    <t xml:space="preserve">  :    996980</t>
  </si>
  <si>
    <t xml:space="preserve">      YB Danny Law Heng Kiang</t>
  </si>
  <si>
    <t xml:space="preserve">  :   V384/2010</t>
  </si>
  <si>
    <t xml:space="preserve"> - March 26 2010</t>
  </si>
  <si>
    <t xml:space="preserve"> - March 25 2010</t>
  </si>
  <si>
    <t>Dance performance</t>
  </si>
  <si>
    <t>from 25 - 27 March 2010</t>
  </si>
  <si>
    <t>Guangzhou International Travel Fair 2010</t>
  </si>
  <si>
    <t xml:space="preserve">  :    954583</t>
  </si>
  <si>
    <t xml:space="preserve">      Nuralida binti Abd Rahim</t>
  </si>
  <si>
    <t xml:space="preserve">  :   V232/2010</t>
  </si>
  <si>
    <t>TOTAL:  RINGGIT Seven Hundred Thirty and Sen Twenty only.</t>
  </si>
  <si>
    <t>for Lionmag FAM trip</t>
  </si>
  <si>
    <t>15.04.2010 - 18.04.2010</t>
  </si>
  <si>
    <t>Rental of car - Avanza for 3 days</t>
  </si>
  <si>
    <t xml:space="preserve"> 15.04.2010             C006636</t>
  </si>
  <si>
    <t xml:space="preserve">      10350 Penang</t>
  </si>
  <si>
    <t xml:space="preserve">  :    954644</t>
  </si>
  <si>
    <t xml:space="preserve">      11 Jalan Gottlieb</t>
  </si>
  <si>
    <t xml:space="preserve">      Penthouse New Bob Centre</t>
  </si>
  <si>
    <t xml:space="preserve">  :   14 May 2010</t>
  </si>
  <si>
    <t xml:space="preserve">      New Bob Rent-A-Car &amp; Tours Sdn Bhd</t>
  </si>
  <si>
    <t xml:space="preserve">  :   V296/2010</t>
  </si>
  <si>
    <t>TOTAL:  RINGGIT Nine Hundred  only.</t>
  </si>
  <si>
    <t>Punjabi Dhol performance</t>
  </si>
  <si>
    <t xml:space="preserve"> 28.01.2010               </t>
  </si>
  <si>
    <t>Cruise Ship - Queen Mary 2 on 4 Feb 2010</t>
  </si>
  <si>
    <t xml:space="preserve">      11950 Bayan Baru, Penang</t>
  </si>
  <si>
    <t xml:space="preserve">  :    915171</t>
  </si>
  <si>
    <t xml:space="preserve">      68, Lorong Mahsuri 7</t>
  </si>
  <si>
    <t xml:space="preserve">      Penang DHOL  Balsterz</t>
  </si>
  <si>
    <t xml:space="preserve">      Narinder Singh s/o Dara Singh</t>
  </si>
  <si>
    <t xml:space="preserve">  :   V127/2010</t>
  </si>
  <si>
    <t>TOTAL:  RINGGIT Two Hundred Twenty One and Sen Forty One only.</t>
  </si>
  <si>
    <t>(Rp75,000 x 8 pax)</t>
  </si>
  <si>
    <t>Airport tax for 8 dancers</t>
  </si>
  <si>
    <t>from March 29 - April 1, 2010</t>
  </si>
  <si>
    <t>Penang Fair in Medan</t>
  </si>
  <si>
    <t xml:space="preserve">  :    954642</t>
  </si>
  <si>
    <t xml:space="preserve">      (I/C No. 791215-07-5434)</t>
  </si>
  <si>
    <t xml:space="preserve">      Noor Intan bt Ishak </t>
  </si>
  <si>
    <t xml:space="preserve">  :   V294/2010</t>
  </si>
  <si>
    <t>(RM120 x 4 rooms x 5 days)</t>
  </si>
  <si>
    <t xml:space="preserve"> </t>
  </si>
  <si>
    <t>Hotel accommodation for 5 days in Medan</t>
  </si>
  <si>
    <t xml:space="preserve"> 09.04.2010            00016659</t>
  </si>
  <si>
    <t>from March 28, 2010 - 2 April 2010</t>
  </si>
  <si>
    <t>Medan Fair 2010</t>
  </si>
  <si>
    <t xml:space="preserve">     SPS Puchong, Perak</t>
  </si>
  <si>
    <t xml:space="preserve">  :    954619</t>
  </si>
  <si>
    <t xml:space="preserve">     14120 Simpang Ampat</t>
  </si>
  <si>
    <t xml:space="preserve">      No. 5A, 1st floor, Jalan Perai Jaya </t>
  </si>
  <si>
    <t xml:space="preserve">      NL Logistics Sdn Bhd</t>
  </si>
  <si>
    <t xml:space="preserve">  :   V271/2010</t>
  </si>
  <si>
    <t>TOTAL:  RINGGIT Four Hundred Thirty Seven and Sen Fifty only.</t>
  </si>
  <si>
    <t>Entrance fee to Khoo Kongsi and guide fee</t>
  </si>
  <si>
    <t xml:space="preserve"> - Walking Heritage Trail and Trishaw tour,</t>
  </si>
  <si>
    <t>Tour done for US journalists on 17 Jun 2010</t>
  </si>
  <si>
    <t xml:space="preserve">  :    996957</t>
  </si>
  <si>
    <t xml:space="preserve">      35, Jesselton Cresent</t>
  </si>
  <si>
    <t xml:space="preserve">      Teresa a/p C.P. Pereira</t>
  </si>
  <si>
    <t xml:space="preserve">  :   V362/2010</t>
  </si>
  <si>
    <t>TOTAL:  RINGGIT  Sixty only.</t>
  </si>
  <si>
    <t>Purchase of 'Bedak sejuk'</t>
  </si>
  <si>
    <t xml:space="preserve">  22.03.2010</t>
  </si>
  <si>
    <t xml:space="preserve">      Balik Pulau, Penang</t>
  </si>
  <si>
    <t xml:space="preserve">  :    954589</t>
  </si>
  <si>
    <t xml:space="preserve">      160 MK D Kuala Jalan Bahru</t>
  </si>
  <si>
    <t xml:space="preserve">      Lean Seng Company</t>
  </si>
  <si>
    <t xml:space="preserve">      Yeoh Keng Beng</t>
  </si>
  <si>
    <t xml:space="preserve">  :   V238/2010</t>
  </si>
  <si>
    <t>Performance - 24 season drum</t>
  </si>
  <si>
    <t>on 30,11,2009</t>
  </si>
  <si>
    <t>Sail Malaysia Passage at Port Swettenham</t>
  </si>
  <si>
    <t xml:space="preserve">  :    915103</t>
  </si>
  <si>
    <t xml:space="preserve">      11960 Bayan Lepas, Penang</t>
  </si>
  <si>
    <t xml:space="preserve">      Jalan Batu Maung</t>
  </si>
  <si>
    <t xml:space="preserve">  :   25 January 2010</t>
  </si>
  <si>
    <t xml:space="preserve">      PIBG SJK (C) Wen Khai</t>
  </si>
  <si>
    <t xml:space="preserve">  :   V057/2010</t>
  </si>
  <si>
    <t>TOTAL:  RINGGIT Nine Thousand and Six Hundred only.</t>
  </si>
  <si>
    <t>Artiste performances - 8 dancers &amp; 8 back-up</t>
  </si>
  <si>
    <t>on 31 Dec 2009</t>
  </si>
  <si>
    <t>Countdown &amp; Ushering 2010 at Queensbay</t>
  </si>
  <si>
    <t xml:space="preserve">      47810 Selangor</t>
  </si>
  <si>
    <t xml:space="preserve">  :    915104</t>
  </si>
  <si>
    <t xml:space="preserve">      Jalan PJU 5/20, Kota Damansara</t>
  </si>
  <si>
    <t xml:space="preserve">      No. 31-2 &amp; 31-M, The Strand Damansara</t>
  </si>
  <si>
    <t xml:space="preserve">      Wild Stream Productions</t>
  </si>
  <si>
    <t xml:space="preserve">  :   V058/2010</t>
  </si>
  <si>
    <t>TOTAL:  RINGGIT One Thousand only.</t>
  </si>
  <si>
    <t>Indian folk dance</t>
  </si>
  <si>
    <t>Indian music performance with traditional</t>
  </si>
  <si>
    <t>Esplanade on 3 July 2010</t>
  </si>
  <si>
    <t xml:space="preserve">Celcom Futsal Fiesta 2010 </t>
  </si>
  <si>
    <t xml:space="preserve">  :    011921</t>
  </si>
  <si>
    <t xml:space="preserve">      701-Z Mount Erskine Road</t>
  </si>
  <si>
    <t xml:space="preserve">      Palanivelo a/l Palsami</t>
  </si>
  <si>
    <t xml:space="preserve">  :   V426/2010</t>
  </si>
  <si>
    <t xml:space="preserve">Voucher No. :   </t>
  </si>
  <si>
    <t>Date                :</t>
  </si>
  <si>
    <t>Trainee</t>
  </si>
  <si>
    <t>Bank               :</t>
  </si>
  <si>
    <t>CIMB</t>
  </si>
  <si>
    <t>Han Chiang College</t>
  </si>
  <si>
    <t>Cheque No. :</t>
  </si>
  <si>
    <t>INVOICE DATE</t>
  </si>
  <si>
    <t>INVOICE NO</t>
  </si>
  <si>
    <t xml:space="preserve">Pratical Training Placement for the </t>
  </si>
  <si>
    <t>period from 10 Jan 2011 - 19 Mar 2011</t>
  </si>
  <si>
    <t>(10 weeks)</t>
  </si>
  <si>
    <t>Memo dated 27.01.2011</t>
  </si>
  <si>
    <t>3rd payment of allowanece</t>
  </si>
  <si>
    <t>for March 2011 (3 weeks)</t>
  </si>
  <si>
    <t>TOTAL RINGGIT</t>
  </si>
  <si>
    <t xml:space="preserve"> Three Hundred Only</t>
  </si>
  <si>
    <t>Yeoh Beng Cjun (I/C : 901208-07-5342)</t>
  </si>
  <si>
    <t>V2011/156</t>
  </si>
  <si>
    <t>092181</t>
  </si>
  <si>
    <t>Voucher No. :</t>
  </si>
  <si>
    <t>No. 1 Pesiaran Mahsuri</t>
  </si>
  <si>
    <t>11909 Bayan Lepas, Penang</t>
  </si>
  <si>
    <t xml:space="preserve">INVOICE DATE    </t>
  </si>
  <si>
    <t xml:space="preserve"> INVOICE NO</t>
  </si>
  <si>
    <t xml:space="preserve">Perbadanan Pembangunan Pulau Pinang </t>
  </si>
  <si>
    <t>Ricoh (Malaysia) Sdn Bhd</t>
  </si>
  <si>
    <t>No. 30 Lebuh Sungai Pinang Satu</t>
  </si>
  <si>
    <t>11600 Jelutong, Penang</t>
  </si>
  <si>
    <t>Voucher No.     :</t>
  </si>
  <si>
    <t>Cheque No.      :</t>
  </si>
  <si>
    <t xml:space="preserve">Date                :  </t>
  </si>
  <si>
    <t xml:space="preserve">INVOICE DATE   </t>
  </si>
  <si>
    <t xml:space="preserve">Voucher No.:   </t>
  </si>
  <si>
    <t>Date           :</t>
  </si>
  <si>
    <t>Bank          :</t>
  </si>
  <si>
    <t>Cheque No.:</t>
  </si>
  <si>
    <t xml:space="preserve">Voucher No. :  </t>
  </si>
  <si>
    <t>TNT Express Worldwide (M) Sdn Bhd</t>
  </si>
  <si>
    <t>No. 17-B, Menara PKNS</t>
  </si>
  <si>
    <t>Jalan Yong Shook Lin</t>
  </si>
  <si>
    <t>46050 Petaling Jaya, Selangor</t>
  </si>
  <si>
    <t xml:space="preserve">  INVOICE NO</t>
  </si>
  <si>
    <t>TOTAL:  RINGGIT</t>
  </si>
  <si>
    <t xml:space="preserve">Voucher No. : </t>
  </si>
  <si>
    <t>Cheque No.  :</t>
  </si>
  <si>
    <t>P.P. Setia Enterprise</t>
  </si>
  <si>
    <t>43, Jalan Sungai Ara 1</t>
  </si>
  <si>
    <t>Taman Sungai Ara</t>
  </si>
  <si>
    <t>11900 Bayan Lepas Penang</t>
  </si>
  <si>
    <t xml:space="preserve">INVOICE DATE     </t>
  </si>
  <si>
    <t>Zarika Travel Sdn Bhd</t>
  </si>
  <si>
    <t>1st Floor-7, No. 5A, Jalan Relau</t>
  </si>
  <si>
    <t>11900 Penang</t>
  </si>
  <si>
    <t>Tel : 04-644 9222</t>
  </si>
  <si>
    <t>Seow Ai See (I/C:821204-07-5644)</t>
  </si>
  <si>
    <t>TravelBiz &amp; Tours Sdn Bhd</t>
  </si>
  <si>
    <t>Suite 2.2,Level 2, Wisma Great Eastern</t>
  </si>
  <si>
    <t>25, Lebuh Light</t>
  </si>
  <si>
    <t>10200 Penang</t>
  </si>
  <si>
    <t>Tel : 04-2618328</t>
  </si>
  <si>
    <t>PGCC Sales &amp; Services Sdn Bhd</t>
  </si>
  <si>
    <t>492A-2-7, Taman Sri Indah</t>
  </si>
  <si>
    <t>Jalan Air Itam</t>
  </si>
  <si>
    <t>11400 Penang</t>
  </si>
  <si>
    <t>Tel : 04-828 1822</t>
  </si>
  <si>
    <t>Fax : 04-827 9822</t>
  </si>
  <si>
    <t>288, Gat Lebuh Macallum</t>
  </si>
  <si>
    <t xml:space="preserve">10300 Penang </t>
  </si>
  <si>
    <t xml:space="preserve">Tel : 04-26 6421 </t>
  </si>
  <si>
    <t>Fax : 04-262 4128</t>
  </si>
  <si>
    <t>Syarikat Percetakan Irisan Sdn Bhd</t>
  </si>
  <si>
    <t>Date            :</t>
  </si>
  <si>
    <t>Bank           :</t>
  </si>
  <si>
    <t>Yamato Transport (M) Sdn Bhd</t>
  </si>
  <si>
    <t>12, Ground Floor, Lintang Sungai Tiram 4</t>
  </si>
  <si>
    <t xml:space="preserve">Bayan Lepas </t>
  </si>
  <si>
    <t xml:space="preserve">11900 Penang </t>
  </si>
  <si>
    <t>Tel : 04-644 4285</t>
  </si>
  <si>
    <t>Cheque No . :</t>
  </si>
  <si>
    <t xml:space="preserve">Voucher No. </t>
  </si>
  <si>
    <t xml:space="preserve">Date          </t>
  </si>
  <si>
    <t xml:space="preserve">Bank          </t>
  </si>
  <si>
    <t xml:space="preserve">Cheque No . </t>
  </si>
  <si>
    <t>:</t>
  </si>
  <si>
    <t>12/4/2011</t>
  </si>
  <si>
    <t>Telephone charges for 16/02-15/03</t>
  </si>
  <si>
    <t>One Hundred Fifty Three And Cents Forty Three Only</t>
  </si>
  <si>
    <t>Actual usage on black &amp; white</t>
  </si>
  <si>
    <t>Actual usage on colour</t>
  </si>
  <si>
    <t xml:space="preserve">Date            :   </t>
  </si>
  <si>
    <t xml:space="preserve">Bank           :     </t>
  </si>
  <si>
    <t xml:space="preserve">Cheque No. :     </t>
  </si>
  <si>
    <t>Neoh Chee Jin</t>
  </si>
  <si>
    <t>Penang Heritage Trust</t>
  </si>
  <si>
    <t>26, Church Street</t>
  </si>
  <si>
    <t>102000 Penang</t>
  </si>
  <si>
    <t xml:space="preserve">Bank           : </t>
  </si>
  <si>
    <t xml:space="preserve">Cheque No.  : </t>
  </si>
  <si>
    <t>10th May 2011</t>
  </si>
  <si>
    <t>V2011/222</t>
  </si>
  <si>
    <t>178851</t>
  </si>
  <si>
    <t>(830227-07-5385)</t>
  </si>
  <si>
    <t xml:space="preserve">INVOICE DATE  </t>
  </si>
  <si>
    <t>Tan Yeow Wooi Culture &amp; Heritage Research Studio</t>
  </si>
  <si>
    <t>81, China Street</t>
  </si>
  <si>
    <t>1 Malaysia Fair, Hong Kong - 30th Apr - 2nd May 2011</t>
  </si>
  <si>
    <t>17/04/2011</t>
  </si>
  <si>
    <t>00273885</t>
  </si>
  <si>
    <t>V2011/249</t>
  </si>
  <si>
    <t>178879</t>
  </si>
  <si>
    <t xml:space="preserve">Delivery - EGL Tours </t>
  </si>
  <si>
    <t>00273889</t>
  </si>
  <si>
    <t>00278039</t>
  </si>
  <si>
    <t xml:space="preserve">Delivery - Westminster Travel </t>
  </si>
  <si>
    <t>26/04/2011</t>
  </si>
  <si>
    <t>00278038</t>
  </si>
  <si>
    <t>Delivery - Malaysia Tourism Promtion - 50kg</t>
  </si>
  <si>
    <t>Delivery - Malaysia Tourism Promtion - 40kg</t>
  </si>
  <si>
    <t>00278037</t>
  </si>
  <si>
    <t>Delivery - Malaysia Tourism Promtion - 15kg</t>
  </si>
  <si>
    <t>One Thousand Eight Hundred Ninety One And Cents Seventy One Only</t>
  </si>
  <si>
    <t>13th May 2011</t>
  </si>
  <si>
    <t>29/04/2011</t>
  </si>
  <si>
    <t>92550/PEN</t>
  </si>
  <si>
    <t>Arabian Travel Market 2011, Dubai</t>
  </si>
  <si>
    <t>29th Apr - 6th May 2011</t>
  </si>
  <si>
    <t>Transportation of promotion materials to Dubai</t>
  </si>
  <si>
    <t>Two Thousand Two Hundred Ninety Eight And Cents Six Only</t>
  </si>
  <si>
    <t>V2011/252</t>
  </si>
  <si>
    <t>178882</t>
  </si>
  <si>
    <t xml:space="preserve">Voucher No.:    </t>
  </si>
  <si>
    <t>(631201-07-5940)</t>
  </si>
  <si>
    <t>25th May 2011</t>
  </si>
  <si>
    <t>Syarikat Perniagaan Jayamas</t>
  </si>
  <si>
    <t>No. 9, Gat Lebuh Gereja</t>
  </si>
  <si>
    <t xml:space="preserve">Tel : 04-262 5227 </t>
  </si>
  <si>
    <t>Fax : 04-261 8505</t>
  </si>
  <si>
    <t>V2011/270</t>
  </si>
  <si>
    <t>178899</t>
  </si>
  <si>
    <t>10/05/2011</t>
  </si>
  <si>
    <t>12136</t>
  </si>
  <si>
    <t>Purchase of Office Stationery</t>
  </si>
  <si>
    <t>One Hundred Fifty Sixty and Cents Fifty Only</t>
  </si>
  <si>
    <t>Trinity Visual Communications Sdn Bhd</t>
  </si>
  <si>
    <t>No.3-3 Block E-2 Dataran Prima</t>
  </si>
  <si>
    <t>Jalan Pju 1/42A</t>
  </si>
  <si>
    <t>47301 PJ, Selangor</t>
  </si>
  <si>
    <t>Tel : 03-7880 9477</t>
  </si>
  <si>
    <t>Voucher No.:</t>
  </si>
  <si>
    <t>Topbit System Sdn Bhd</t>
  </si>
  <si>
    <t>No.47G, Bangunan Tabung Haji</t>
  </si>
  <si>
    <t>Jalan Perai Utama 1</t>
  </si>
  <si>
    <t>Taman Perai Utama</t>
  </si>
  <si>
    <t>13600 Perai, Pulau Pinang</t>
  </si>
  <si>
    <t>V2011/277</t>
  </si>
  <si>
    <t>31st May 2011</t>
  </si>
  <si>
    <t>178807</t>
  </si>
  <si>
    <t>Memo dated 18/05/2011</t>
  </si>
  <si>
    <t>Adobe Creative Suite Design Standard 5.5</t>
  </si>
  <si>
    <t>Five Thousand and Two Hundred Only</t>
  </si>
  <si>
    <t>1st June 2011</t>
  </si>
  <si>
    <t>V2011/283</t>
  </si>
  <si>
    <t>178813</t>
  </si>
  <si>
    <t>Pro-Tents Sdn Bhd</t>
  </si>
  <si>
    <t>No.217, MK 12, Jalan Batu Maung</t>
  </si>
  <si>
    <t>11960 Bayan Lepas</t>
  </si>
  <si>
    <t>Pulau Pinang</t>
  </si>
  <si>
    <t>Tel : 04-626 2400</t>
  </si>
  <si>
    <t>23/05/2011</t>
  </si>
  <si>
    <t>003102</t>
  </si>
  <si>
    <t>Launching of My Penang Campaign</t>
  </si>
  <si>
    <t>Rental of the equipment :</t>
  </si>
  <si>
    <t xml:space="preserve"> - 2 Transparent tents size 20' x 20' c/w lights </t>
  </si>
  <si>
    <t xml:space="preserve"> - 2 units of Air Cooler</t>
  </si>
  <si>
    <t xml:space="preserve"> - 3 units of Sofa Chairs</t>
  </si>
  <si>
    <t xml:space="preserve"> - 1 Coffee Table</t>
  </si>
  <si>
    <t xml:space="preserve"> - 20 units of Banquet chairs c/w cover</t>
  </si>
  <si>
    <t>One Thousand Six Hundred and Sixty Only</t>
  </si>
  <si>
    <t>Tel : 04-283 7354</t>
  </si>
  <si>
    <t>TT</t>
  </si>
  <si>
    <t>TT Charges</t>
  </si>
  <si>
    <t>SBS Transit Ltd</t>
  </si>
  <si>
    <t xml:space="preserve">205 Braddell Road </t>
  </si>
  <si>
    <t>Singapore 579701</t>
  </si>
  <si>
    <t>8th June 2011</t>
  </si>
  <si>
    <t>V2011/294</t>
  </si>
  <si>
    <t>178824</t>
  </si>
  <si>
    <t xml:space="preserve">Panca Design </t>
  </si>
  <si>
    <t>46-2A, Lorong Selamat</t>
  </si>
  <si>
    <t>Georgetown 10400 Penang</t>
  </si>
  <si>
    <t>02/06/2011</t>
  </si>
  <si>
    <t>A271</t>
  </si>
  <si>
    <t>Photography Shooting Package for Russian Visitors</t>
  </si>
  <si>
    <t>Five Hundred Only</t>
  </si>
  <si>
    <t xml:space="preserve">No.17, Jalan Kelawai </t>
  </si>
  <si>
    <t xml:space="preserve">10250 Georgetown </t>
  </si>
  <si>
    <t>Penang</t>
  </si>
  <si>
    <t>13th June 2011</t>
  </si>
  <si>
    <t>V2011/301</t>
  </si>
  <si>
    <t>178830</t>
  </si>
  <si>
    <t>Launching of "My Penang" Campaign</t>
  </si>
  <si>
    <t>PGIV018454</t>
  </si>
  <si>
    <t>Air Ticket (Pen-Sin-Pen) - 3 pax</t>
  </si>
  <si>
    <t>Insurance - 3 pax</t>
  </si>
  <si>
    <t>Agent Collection Fee - 3 pax</t>
  </si>
  <si>
    <t>PGIV018428</t>
  </si>
  <si>
    <t>Internet Booking Fee</t>
  </si>
  <si>
    <t>Air Ticket (Pen-KL-Pen) - 1 pax</t>
  </si>
  <si>
    <t xml:space="preserve">Trip to KL </t>
  </si>
  <si>
    <t>Three Thousand One Hundred and Thirty Five Only</t>
  </si>
  <si>
    <t>V2011/303</t>
  </si>
  <si>
    <t>178832</t>
  </si>
  <si>
    <t>05/05/2011</t>
  </si>
  <si>
    <t>WS2011IN11</t>
  </si>
  <si>
    <t>(From the period 05/05/2011 to 05/05/2012)</t>
  </si>
  <si>
    <t>Thirty Two @ The Mansion</t>
  </si>
  <si>
    <t>32, Jalan Sultan Ahmad Shah</t>
  </si>
  <si>
    <t>10050 Penang</t>
  </si>
  <si>
    <t>Tel : 04-262 2232</t>
  </si>
  <si>
    <t>V2011/304</t>
  </si>
  <si>
    <t>178833</t>
  </si>
  <si>
    <t>12557</t>
  </si>
  <si>
    <t>Dinner with Airlines Key Person</t>
  </si>
  <si>
    <t>Set Dinner for 22 pax @ RM110.00 per pax</t>
  </si>
  <si>
    <t>Fruit punch 4 jugs @ RM20.875</t>
  </si>
  <si>
    <t>Two Thousand Five Hundred Three and Cents Fifty Only</t>
  </si>
  <si>
    <t xml:space="preserve"> - My Laptop </t>
  </si>
  <si>
    <t xml:space="preserve"> - My Turn</t>
  </si>
  <si>
    <t xml:space="preserve">Rental Digital Photograph (RM250 x 2 pcs) </t>
  </si>
  <si>
    <t>PGIV018452</t>
  </si>
  <si>
    <t>Shangri-La Hotels (M) Berhad</t>
  </si>
  <si>
    <t>Batu Feringgi Beach</t>
  </si>
  <si>
    <t>11100 Penang</t>
  </si>
  <si>
    <t>Three Thousand and Five Hundred Only</t>
  </si>
  <si>
    <t>Tour &amp; Incentive Travel Sdn Bhd</t>
  </si>
  <si>
    <t>10470 Penang</t>
  </si>
  <si>
    <t>Tel : 04-899 8833</t>
  </si>
  <si>
    <t>Perut Rumah Nyonya Cuisine</t>
  </si>
  <si>
    <t>Distribution of brochures covers 42 key locations</t>
  </si>
  <si>
    <t>Reimbursement of :</t>
  </si>
  <si>
    <t>(I/C:770105-07-5553)</t>
  </si>
  <si>
    <t>18th July 2011</t>
  </si>
  <si>
    <t>Ozio Holidays Sdn Bhd</t>
  </si>
  <si>
    <t>L2-11A, PISA Indoor Stadium</t>
  </si>
  <si>
    <t>Jalan Tun Dr Awang</t>
  </si>
  <si>
    <t>11900 Bayan Lepas</t>
  </si>
  <si>
    <t>Tel : 016-4199107</t>
  </si>
  <si>
    <t>02/07/2011</t>
  </si>
  <si>
    <t>PDC Premier Holdings Sdn Bhd</t>
  </si>
  <si>
    <t>Date             :</t>
  </si>
  <si>
    <t>Bank            :</t>
  </si>
  <si>
    <t>V2011/369</t>
  </si>
  <si>
    <t>178697</t>
  </si>
  <si>
    <t>Soroptimist International Club of Penang</t>
  </si>
  <si>
    <t>Block 98-3-36A, Prima Tanjung Business Centre</t>
  </si>
  <si>
    <t>Jalan Fettes</t>
  </si>
  <si>
    <t>11200 Bandar Tanjung Tokong, Penang</t>
  </si>
  <si>
    <t>Blossom project of Single Mothers</t>
  </si>
  <si>
    <t>Three Hundred and Fifty Only</t>
  </si>
  <si>
    <t>(Single mother - under SIP)</t>
  </si>
  <si>
    <t>Purchase of Cotton Bags - 100pcs @ RM3.50</t>
  </si>
  <si>
    <t>Teresa A/P C.P. Pereira</t>
  </si>
  <si>
    <t>35, Jesselton Crescent</t>
  </si>
  <si>
    <t>10450 Penang</t>
  </si>
  <si>
    <t>10th Aug 2011</t>
  </si>
  <si>
    <t>V2011/414</t>
  </si>
  <si>
    <t>178741</t>
  </si>
  <si>
    <t>01/08/2011</t>
  </si>
  <si>
    <t>22485</t>
  </si>
  <si>
    <t>Rental for the month of Aug 2011</t>
  </si>
  <si>
    <t>One Thousand Seven Hundred Forty Two and Cents Fifty Only</t>
  </si>
  <si>
    <t>VSL Equipment Sdn Bhd</t>
  </si>
  <si>
    <t>12. Lengkok Dumbar</t>
  </si>
  <si>
    <t>Off Jalan Jelutong</t>
  </si>
  <si>
    <t>11600 Penang</t>
  </si>
  <si>
    <t>Six Hundred Only</t>
  </si>
  <si>
    <t>Perbadanan Bukit Bendera Pulau Pinang</t>
  </si>
  <si>
    <t>Jalan Stesen Bukit Bendera</t>
  </si>
  <si>
    <t>Ayer Itam</t>
  </si>
  <si>
    <t>11500 Pulau Pinang</t>
  </si>
  <si>
    <t>Yoon Pauline</t>
  </si>
  <si>
    <t>I/C : 840720-07-5388</t>
  </si>
  <si>
    <t>Yeen Leong Enterprise</t>
  </si>
  <si>
    <t>139-K, Jalan Rambutan Satu</t>
  </si>
  <si>
    <t>11500 Ayer Itam</t>
  </si>
  <si>
    <t>28/09/2011</t>
  </si>
  <si>
    <t xml:space="preserve">Cotton Bag </t>
  </si>
  <si>
    <t>250pcs @ RM3.50</t>
  </si>
  <si>
    <t>17th Oct 2011</t>
  </si>
  <si>
    <t>V2011/531</t>
  </si>
  <si>
    <t>240652</t>
  </si>
  <si>
    <t>One Green Synergy Marketing</t>
  </si>
  <si>
    <t>4-2, jalan 25/70A</t>
  </si>
  <si>
    <t>Desa Sri Hartamas</t>
  </si>
  <si>
    <t>50480 Kuala Lumpur</t>
  </si>
  <si>
    <t>Tel : 03-2300 2018</t>
  </si>
  <si>
    <t>INV001/11</t>
  </si>
  <si>
    <t>Xin Xum Sim Pack</t>
  </si>
  <si>
    <t>(500 pcs x RM3.50)</t>
  </si>
  <si>
    <t>One Thousand Seven Hundred and Fifty Only</t>
  </si>
  <si>
    <t>Syarinor Tours &amp; Travel Sdn Bhd</t>
  </si>
  <si>
    <t>98-2-3B, Prima Tanjung Business Centre</t>
  </si>
  <si>
    <t xml:space="preserve">Jalan Fettes, Tanjung Tokong </t>
  </si>
  <si>
    <t xml:space="preserve">11200 Penang </t>
  </si>
  <si>
    <t>Tel : 04-899 2082</t>
  </si>
  <si>
    <t>20th Oct 2011</t>
  </si>
  <si>
    <t>Jalan Teluk Bahang</t>
  </si>
  <si>
    <t>Lone Crag Villa, Lot 595 Mukim 2</t>
  </si>
  <si>
    <t>Tel : 04-881 1797</t>
  </si>
  <si>
    <t>Fax : 04-881 3794</t>
  </si>
  <si>
    <t>V2011/549</t>
  </si>
  <si>
    <t>240670</t>
  </si>
  <si>
    <t>Tan Hock Kheng</t>
  </si>
  <si>
    <t xml:space="preserve">Sponsorship </t>
  </si>
  <si>
    <t>04/10/201</t>
  </si>
  <si>
    <t>Sponsorship of Dancing to Connect</t>
  </si>
  <si>
    <t xml:space="preserve"> - Rental of sound &amp; lighting system</t>
  </si>
  <si>
    <t xml:space="preserve"> - Lorry transportation</t>
  </si>
  <si>
    <t>Two Thousand Only</t>
  </si>
  <si>
    <t>Telekom Malaysia Berhad</t>
  </si>
  <si>
    <t xml:space="preserve">ESK Building </t>
  </si>
  <si>
    <t>Lebuh Ong Chong Keng</t>
  </si>
  <si>
    <t>10400 Penang</t>
  </si>
  <si>
    <t>Tel : 04-220 9449</t>
  </si>
  <si>
    <t>Number (04-263 1166)</t>
  </si>
  <si>
    <t>Tender fees for Tourist Information Centre</t>
  </si>
  <si>
    <t>Jalan Anson</t>
  </si>
  <si>
    <t>V2011/522</t>
  </si>
  <si>
    <t>12th Oct 2011</t>
  </si>
  <si>
    <t>Oriental Media &amp; Technology Co Ltd</t>
  </si>
  <si>
    <t>68/54, Soi 11, Manee Krarm Village</t>
  </si>
  <si>
    <t>Kwang Road, Vichit Sub District</t>
  </si>
  <si>
    <t>Muang, Thailand Phuket 83000</t>
  </si>
  <si>
    <t>4/10/2011</t>
  </si>
  <si>
    <t>D2011/0126</t>
  </si>
  <si>
    <t>Business to Business Table Talk and Networking Cocktail</t>
  </si>
  <si>
    <t>at Royal Phuket Marina 12th to 14th October 2011</t>
  </si>
  <si>
    <t>(2 nights x 2 pax)</t>
  </si>
  <si>
    <t>Transfer Service - 9 pax</t>
  </si>
  <si>
    <t>One Thousand Three Hundred Thirty Three and Cents Seventy Three Only</t>
  </si>
  <si>
    <t>9th Nov 2011</t>
  </si>
  <si>
    <t>V2011/594</t>
  </si>
  <si>
    <t>240717</t>
  </si>
  <si>
    <t>Sunway Hotel (Penang) Sdn Bhd</t>
  </si>
  <si>
    <t>33 New Lane (Off Macalister Road)</t>
  </si>
  <si>
    <t xml:space="preserve">Georgetown </t>
  </si>
  <si>
    <t>Tel : 04-229 9988</t>
  </si>
  <si>
    <t xml:space="preserve">Surabaya &amp; AirAsia 360 Magazine FAM Trip </t>
  </si>
  <si>
    <t>on 1-4th October 2011</t>
  </si>
  <si>
    <t>03.10.2011</t>
  </si>
  <si>
    <t>EO0168/11</t>
  </si>
  <si>
    <t>Buffet Dinner on 3rd October at Sunway Hotel</t>
  </si>
  <si>
    <t>RM30 x 20 pax</t>
  </si>
  <si>
    <t>15th Nov 2011</t>
  </si>
  <si>
    <t>V2011/607</t>
  </si>
  <si>
    <t>240730</t>
  </si>
  <si>
    <t>Eastern &amp; Oriental Hotel Sdn Bhd</t>
  </si>
  <si>
    <t>Attn : Adrian Yeoh</t>
  </si>
  <si>
    <t>Pro-forma Invoice dated 07.11.2011</t>
  </si>
  <si>
    <t>Zee Avi Concert on 18/11/2011</t>
  </si>
  <si>
    <t>Rental of SQCC Venue on 18/11/2011</t>
  </si>
  <si>
    <t>6% Govt Tax</t>
  </si>
  <si>
    <t>Four Thousand Two Hundred and Forty Only</t>
  </si>
  <si>
    <t>29th Nov 2011</t>
  </si>
  <si>
    <t>25/11/2011</t>
  </si>
  <si>
    <t>V2011/634</t>
  </si>
  <si>
    <t>240754</t>
  </si>
  <si>
    <t>Newspaper for the month of Oct 2011</t>
  </si>
  <si>
    <t>Newspaper for the month of Nov 2011</t>
  </si>
  <si>
    <t>31/10/2011</t>
  </si>
  <si>
    <t>One Hundred Ninety Three and Cents Ten Only</t>
  </si>
  <si>
    <t>One Thousand Only</t>
  </si>
  <si>
    <t>V2011/637</t>
  </si>
  <si>
    <t>240757</t>
  </si>
  <si>
    <t>1689</t>
  </si>
  <si>
    <t>Eight Hundred Seventy Five Only</t>
  </si>
  <si>
    <t>V2011/638</t>
  </si>
  <si>
    <t>240758</t>
  </si>
  <si>
    <t>PTI Food &amp; Beverages Sdn Bhd</t>
  </si>
  <si>
    <t>Maharaj Restaurant Penang</t>
  </si>
  <si>
    <t>132, Penang Road</t>
  </si>
  <si>
    <t>Tel : 04-262 0263</t>
  </si>
  <si>
    <t>Star Cruise Indian Fam Trip to Penang 2-4 Dec 2011</t>
  </si>
  <si>
    <t>Dinner for 40 pax @ RM25</t>
  </si>
  <si>
    <t>TTG Asia Media Pte Ltd</t>
  </si>
  <si>
    <t>1, Science Park Road</t>
  </si>
  <si>
    <t xml:space="preserve">#04-07, The Capricorn </t>
  </si>
  <si>
    <t>Singapore Science Park II</t>
  </si>
  <si>
    <t xml:space="preserve">Singapore  </t>
  </si>
  <si>
    <t>No. 8B, (First Floor) The Whiteaways Arcade, Lebuh Pantai, 10300 Penang</t>
  </si>
  <si>
    <t>Tel : 604 - 264 3456  Fax : 604 - 264 3455</t>
  </si>
  <si>
    <t>6th Dec 2011</t>
  </si>
  <si>
    <t>V2011/645</t>
  </si>
  <si>
    <t>240766</t>
  </si>
  <si>
    <t>Persatuan Kebudayaan &amp; Sukan Meihu PP</t>
  </si>
  <si>
    <t>No.320, MK8, Gertak Sanggul</t>
  </si>
  <si>
    <t>11910 Bayan Lepas</t>
  </si>
  <si>
    <t>Tel : 04-659 4925</t>
  </si>
  <si>
    <t>Raja Muda Selangor International Regata 2011</t>
  </si>
  <si>
    <t>23/11/2011</t>
  </si>
  <si>
    <t>Lion dance on stilts performance on 23/11/2011</t>
  </si>
  <si>
    <t>Two Thousand and Five Hundred Only</t>
  </si>
  <si>
    <t>Zen Interior Design</t>
  </si>
  <si>
    <t>488A-11-02, Midlands Park</t>
  </si>
  <si>
    <t>Jalan Burma</t>
  </si>
  <si>
    <t>10350 Penang</t>
  </si>
  <si>
    <t>Proposed Interior Fitout for Penang Global Tourism</t>
  </si>
  <si>
    <t>Office (Lot 8 &amp; 8A First Floor) and Lot 10 (Ground Floor)</t>
  </si>
  <si>
    <t>at Whiteaways Arcade, Penang</t>
  </si>
  <si>
    <t>Deduct net rentantion 5%</t>
  </si>
  <si>
    <t>(Job No. LLASB/11334)</t>
  </si>
  <si>
    <t>15th Dec 2011</t>
  </si>
  <si>
    <t>Reka Art Space</t>
  </si>
  <si>
    <t>7 Lebuhraya Cantoment</t>
  </si>
  <si>
    <t>10350 P.Pinang</t>
  </si>
  <si>
    <t>Tel : 017-8727721</t>
  </si>
  <si>
    <t>George Town Literary Festival 2011</t>
  </si>
  <si>
    <t>GTLF2011/002</t>
  </si>
  <si>
    <t xml:space="preserve"> - Transportation (Flights)</t>
  </si>
  <si>
    <t>Expenditure of GTLF for :</t>
  </si>
  <si>
    <t xml:space="preserve"> - Stipend (Writers, Moderator &amp; Musician)</t>
  </si>
  <si>
    <t xml:space="preserve"> - Honorarium (Writers, Moderator &amp; Musician)</t>
  </si>
  <si>
    <t xml:space="preserve"> - Transportation (Writers, Moderator &amp; Musician)</t>
  </si>
  <si>
    <t xml:space="preserve"> - Food</t>
  </si>
  <si>
    <t xml:space="preserve"> - Publicity Material</t>
  </si>
  <si>
    <t xml:space="preserve"> - Misc Expenditure</t>
  </si>
  <si>
    <t>Sixteen Thousand Eight Hundred Forty Nine and Cents Ninety Nine Only</t>
  </si>
  <si>
    <t>V2011/676</t>
  </si>
  <si>
    <t>240800</t>
  </si>
  <si>
    <t xml:space="preserve">Studio Howard </t>
  </si>
  <si>
    <t>88 Armenian Street</t>
  </si>
  <si>
    <t>1030 Georgetown Penang</t>
  </si>
  <si>
    <t>Tel : 016-551 1428</t>
  </si>
  <si>
    <t>Fax : 04-227 9108</t>
  </si>
  <si>
    <t>22nd Dec 2011</t>
  </si>
  <si>
    <t>PICO International (M) Sdn Bhd</t>
  </si>
  <si>
    <t>Wisma Pico, 19-20 Jalan Tembaga SD 5/2</t>
  </si>
  <si>
    <t>Bandar Sri Damansara</t>
  </si>
  <si>
    <t>52200 KL, Malaysia</t>
  </si>
  <si>
    <t>V2011/730</t>
  </si>
  <si>
    <t>307905</t>
  </si>
  <si>
    <t xml:space="preserve">Song Studio </t>
  </si>
  <si>
    <t>10A-B, Medan Angsana Dua</t>
  </si>
  <si>
    <t xml:space="preserve">Bandar Baru Air Itam </t>
  </si>
  <si>
    <t>11500 Penang</t>
  </si>
  <si>
    <t>Tel : 04-8272496</t>
  </si>
  <si>
    <t>Photo copyrights</t>
  </si>
  <si>
    <t>12/12/2011</t>
  </si>
  <si>
    <t>8183</t>
  </si>
  <si>
    <t xml:space="preserve">Supply of penang photos for stock </t>
  </si>
  <si>
    <t>(Scenery, Cultural &amp; Life)</t>
  </si>
  <si>
    <t>(9 photo @ RM400)</t>
  </si>
  <si>
    <t>Three Thousand and Six Hundred Only</t>
  </si>
  <si>
    <t>Straits Indigo Sdn Bhd</t>
  </si>
  <si>
    <t>Cheong Fatt Tze Mansion</t>
  </si>
  <si>
    <t>14, Leith Street</t>
  </si>
  <si>
    <t>Tel : 04-262 0006</t>
  </si>
  <si>
    <t>30/12/2011</t>
  </si>
  <si>
    <t>Telephone bills for :-</t>
  </si>
  <si>
    <t xml:space="preserve"> - Account Number (D90703-201-0808)</t>
  </si>
  <si>
    <t>Penang Global Tourism Sdn Bhd</t>
  </si>
  <si>
    <t>Electrical Bill for :-</t>
  </si>
  <si>
    <t>Web Asp Sdn Bhd</t>
  </si>
  <si>
    <t>No.40-1, Persiaran Bayan Indah</t>
  </si>
  <si>
    <t>Bayan Bay</t>
  </si>
  <si>
    <t>Tel : 04-642 0621</t>
  </si>
  <si>
    <t>Usage for IDD , Outstation &amp; Mobile</t>
  </si>
  <si>
    <t>22/11/2011</t>
  </si>
  <si>
    <t>Deduct previous claim</t>
  </si>
  <si>
    <t>V2011/749</t>
  </si>
  <si>
    <t>307922</t>
  </si>
  <si>
    <t>Renovation for New Office - CP/003</t>
  </si>
  <si>
    <t>104586</t>
  </si>
  <si>
    <t>Fifty Seven Thousand Two Hundred Sixty and Cents Seventy Eight Only</t>
  </si>
  <si>
    <t>Toong Li Stationery &amp; Supply</t>
  </si>
  <si>
    <t>No.6, King Street</t>
  </si>
  <si>
    <t>Tel : 04-262 4741</t>
  </si>
  <si>
    <t>Fax : 04-262 4748</t>
  </si>
  <si>
    <t>N. Power Engineering Sdn Bhd</t>
  </si>
  <si>
    <t>No.20, Tingkat 1, Lorong Delima 2</t>
  </si>
  <si>
    <t>Taman Seri Delima</t>
  </si>
  <si>
    <t>14000 Bukit Mertajam</t>
  </si>
  <si>
    <t>The Capricorn Connection</t>
  </si>
  <si>
    <t>25-1, 1st Floor</t>
  </si>
  <si>
    <t>Lorong Setiabistari 2</t>
  </si>
  <si>
    <t>Damansara Heights</t>
  </si>
  <si>
    <t>50490 KL</t>
  </si>
  <si>
    <t>Sitravellu A/L Tangavellu</t>
  </si>
  <si>
    <t>I/C : 600317-07-5297</t>
  </si>
  <si>
    <t xml:space="preserve">Despatch Services </t>
  </si>
  <si>
    <t>Being payment of despatch services for the month of</t>
  </si>
  <si>
    <t>One Hundred and Fifty Only</t>
  </si>
  <si>
    <t xml:space="preserve"> - Transportation</t>
  </si>
  <si>
    <t>Tenaga Nasional Berhad</t>
  </si>
  <si>
    <t>R. Kanesan</t>
  </si>
  <si>
    <t>16th Feb 2012</t>
  </si>
  <si>
    <t>46200 Petaling Jaya</t>
  </si>
  <si>
    <t>Selangor</t>
  </si>
  <si>
    <t>V2012/065</t>
  </si>
  <si>
    <t>308003</t>
  </si>
  <si>
    <t>Paradise Floral Boutique &amp; Academy</t>
  </si>
  <si>
    <t xml:space="preserve">No.29E Jalan Dato Keramat </t>
  </si>
  <si>
    <t>10150 Geogetown Penang</t>
  </si>
  <si>
    <t>Tel &amp; Fax : 04-228 9980</t>
  </si>
  <si>
    <t>14/1/2012</t>
  </si>
  <si>
    <t>000979</t>
  </si>
  <si>
    <t>Fruit Basket - Seow Ai See</t>
  </si>
  <si>
    <t>One Hundred Only</t>
  </si>
  <si>
    <t>V2012/066</t>
  </si>
  <si>
    <t>308004</t>
  </si>
  <si>
    <t>Paragon Communications Sdn Bhd</t>
  </si>
  <si>
    <t>8th Floor, Wisma E &amp; C</t>
  </si>
  <si>
    <t>No.2 Lorong Dungun Kiri Damansara Heights</t>
  </si>
  <si>
    <t>Tel : 03-2095 2600</t>
  </si>
  <si>
    <t>Fax : 03-2095 1289</t>
  </si>
  <si>
    <t>26/10/2010</t>
  </si>
  <si>
    <t>DP32021</t>
  </si>
  <si>
    <t>Printing cost - Peranakan Campaign</t>
  </si>
  <si>
    <t>Eight Hundred Seventeen and Cents Eighty Eight Only</t>
  </si>
  <si>
    <t xml:space="preserve">Palanivelo A/L Palsami </t>
  </si>
  <si>
    <t>(I/C : 530509-02-5875)</t>
  </si>
  <si>
    <t xml:space="preserve">Voucher No. :    </t>
  </si>
  <si>
    <t>Stamp Duty</t>
  </si>
  <si>
    <t xml:space="preserve">Renewal Notice </t>
  </si>
  <si>
    <t>Nur Farhana Bt Mohd Mokhtar</t>
  </si>
  <si>
    <t xml:space="preserve">Trainee Allowance for the month of : </t>
  </si>
  <si>
    <t>Policy No. : CCMB1000657</t>
  </si>
  <si>
    <t>Vehicle No. : PJJ 1311</t>
  </si>
  <si>
    <t>Basic Premium</t>
  </si>
  <si>
    <t>A. Drivers</t>
  </si>
  <si>
    <t>Service Tax 6%</t>
  </si>
  <si>
    <t>Toh Wie Chun</t>
  </si>
  <si>
    <t>(470929-07-5404)</t>
  </si>
  <si>
    <t>15th Mar 2012</t>
  </si>
  <si>
    <t xml:space="preserve"> - Total Usage</t>
  </si>
  <si>
    <t xml:space="preserve"> - Monthly Charges</t>
  </si>
  <si>
    <t xml:space="preserve"> Account Number (D90703-201-0710)</t>
  </si>
  <si>
    <t xml:space="preserve"> - Usage </t>
  </si>
  <si>
    <t xml:space="preserve"> - Tax</t>
  </si>
  <si>
    <t>Rounding</t>
  </si>
  <si>
    <t>Hong Kong Inbound Travel Association Fam Trip</t>
  </si>
  <si>
    <t>24-27 February 2012</t>
  </si>
  <si>
    <t>V2012/182</t>
  </si>
  <si>
    <t>308113</t>
  </si>
  <si>
    <t>29/02/2012</t>
  </si>
  <si>
    <t>INV1202-019</t>
  </si>
  <si>
    <t>Tourist Guide Fees &amp; Luggage Van</t>
  </si>
  <si>
    <t>Guides Fees on :-</t>
  </si>
  <si>
    <t>24/02/2012 (6.30pm - 10.30pm)</t>
  </si>
  <si>
    <t>25/02/2012 (8.30am - 11.00pm)</t>
  </si>
  <si>
    <t>26/02/2012 (8.30am - 11.00pm)</t>
  </si>
  <si>
    <t>27/02/2012 (Early Airport Transfer)</t>
  </si>
  <si>
    <t>Luggage Van</t>
  </si>
  <si>
    <t>Eight Hundred and Sixty Only</t>
  </si>
  <si>
    <t>Plenitude Heights Sdn Bhd</t>
  </si>
  <si>
    <t>505, Jalan Tanjung Bungah</t>
  </si>
  <si>
    <t>11200 Tanjung Bungah</t>
  </si>
  <si>
    <t>22nd Mar 2012</t>
  </si>
  <si>
    <t>Premier Sports Center</t>
  </si>
  <si>
    <t>152, Jalan Dato Keramat</t>
  </si>
  <si>
    <t>10150 Pulau Pinang</t>
  </si>
  <si>
    <t>Tel : 04-229 3727</t>
  </si>
  <si>
    <t>V2012/238</t>
  </si>
  <si>
    <t>308163</t>
  </si>
  <si>
    <t>Rainbow Art Enterprise</t>
  </si>
  <si>
    <t>85, Lebuh Katz</t>
  </si>
  <si>
    <t>10300 Penang</t>
  </si>
  <si>
    <t>Tel : 04-263 9867</t>
  </si>
  <si>
    <t>Fax : 04-263 3959</t>
  </si>
  <si>
    <t>09/02/2012</t>
  </si>
  <si>
    <t>9193</t>
  </si>
  <si>
    <t xml:space="preserve">Mug </t>
  </si>
  <si>
    <t>(100pcs @ RM7.50)</t>
  </si>
  <si>
    <t>Penang State Branding Initiative Launching</t>
  </si>
  <si>
    <t>(To be reimbursed from Impakstrat)</t>
  </si>
  <si>
    <t>Sticker</t>
  </si>
  <si>
    <t>(100pcs @ RM0.50)</t>
  </si>
  <si>
    <t>16/01/2012</t>
  </si>
  <si>
    <t>9183</t>
  </si>
  <si>
    <t>One Thousand and Six Hundred Only</t>
  </si>
  <si>
    <t>30 Mar 2012</t>
  </si>
  <si>
    <t>March'12</t>
  </si>
  <si>
    <t>V2012/265</t>
  </si>
  <si>
    <t>308189</t>
  </si>
  <si>
    <t>OSY Florist &amp; Gifts</t>
  </si>
  <si>
    <t>Sri Weld Food Court</t>
  </si>
  <si>
    <t>19, Lebuh Pantai</t>
  </si>
  <si>
    <t>H/P : 016-482 0931</t>
  </si>
  <si>
    <t>Pertubuhan Keselamatan Sosial</t>
  </si>
  <si>
    <t>PGT</t>
  </si>
  <si>
    <t xml:space="preserve"> - Employer's portion</t>
  </si>
  <si>
    <t xml:space="preserve"> - Employee's portion</t>
  </si>
  <si>
    <t>PVC</t>
  </si>
  <si>
    <t>Tel: 604-264 3456  Fax : 604-264 3455</t>
  </si>
  <si>
    <t xml:space="preserve">Date            : </t>
  </si>
  <si>
    <t>TOTAL :RINGGIT</t>
  </si>
  <si>
    <t>Ng Chun How</t>
  </si>
  <si>
    <t>(I/C : 880311-07-5113)</t>
  </si>
  <si>
    <t>V2012/342</t>
  </si>
  <si>
    <t>17th April 2012</t>
  </si>
  <si>
    <t>Safrizal</t>
  </si>
  <si>
    <t>04/04/2012</t>
  </si>
  <si>
    <t>009/GM.ESNT/INV/IV2012</t>
  </si>
  <si>
    <t>Sales Mission to Aceh 2012</t>
  </si>
  <si>
    <t>Transportation Downpayment</t>
  </si>
  <si>
    <t>(IDR3,000,000 @ RM0.0346)</t>
  </si>
  <si>
    <t>Bank Charges</t>
  </si>
  <si>
    <t>One Hundred Twenty Three and Cents Eighty Only</t>
  </si>
  <si>
    <t>V2012/343</t>
  </si>
  <si>
    <t>09/04/2012</t>
  </si>
  <si>
    <t>AR/PF/0412/0001</t>
  </si>
  <si>
    <t>Ballroom - Half Day Meeting</t>
  </si>
  <si>
    <t>Three Thousand Four Hundred Sixty Five and Cents Seventy Four Only</t>
  </si>
  <si>
    <t>PT Berlian Global Perkasa</t>
  </si>
  <si>
    <t>Hermes Palace Banda Aceh</t>
  </si>
  <si>
    <t>Nurliyana Binti Masran</t>
  </si>
  <si>
    <t>I/C : 910820-08-6210</t>
  </si>
  <si>
    <t>period from 12th April - 14th August 2012</t>
  </si>
  <si>
    <t>Memo dated 19.03.2012</t>
  </si>
  <si>
    <t>Nurul Iman Binti Darus</t>
  </si>
  <si>
    <t>I/C : 901015-07-5944</t>
  </si>
  <si>
    <t>Total Value of Work</t>
  </si>
  <si>
    <t>Sarass A/P Erisen</t>
  </si>
  <si>
    <t>(I/C : 900101-08-6442)</t>
  </si>
  <si>
    <t>TIC - Clearning Services</t>
  </si>
  <si>
    <t xml:space="preserve">Voucher No.: </t>
  </si>
  <si>
    <t>TOTAL:  RINGGIT Two Thousand One Hundred only.</t>
  </si>
  <si>
    <t>Reverse Osmosis Drinking Water (5 Gallons)</t>
  </si>
  <si>
    <t>Omega Sparkles Sdn Bhd</t>
  </si>
  <si>
    <t>Tel : 04-281 0688</t>
  </si>
  <si>
    <t>Fax : 04-282 5688</t>
  </si>
  <si>
    <t>R.O. Drinking Water - 5 Gallons</t>
  </si>
  <si>
    <t>Voucher No.  :</t>
  </si>
  <si>
    <t>7th May 2012</t>
  </si>
  <si>
    <t>V2012/389</t>
  </si>
  <si>
    <t>361259</t>
  </si>
  <si>
    <t>Paul Charles Augustin</t>
  </si>
  <si>
    <t>Flight Ticket on 27/04/2012</t>
  </si>
  <si>
    <t>KL - PEN - KL</t>
  </si>
  <si>
    <t>Photoshooting Session on 27th April 2012</t>
  </si>
  <si>
    <t>15, Jalan Tempinis 5</t>
  </si>
  <si>
    <t>Lucky Garden</t>
  </si>
  <si>
    <t>Bangsar Baru</t>
  </si>
  <si>
    <t>KL 59100</t>
  </si>
  <si>
    <t>Five Hundred Eighty Seven and Cents Ninety Only</t>
  </si>
  <si>
    <t>V2012/390</t>
  </si>
  <si>
    <t>361260</t>
  </si>
  <si>
    <t>(2,849 pcs x RM0.030)</t>
  </si>
  <si>
    <t>(572 pcs x RM0.50)</t>
  </si>
  <si>
    <t>15/12/2012</t>
  </si>
  <si>
    <t>31217958</t>
  </si>
  <si>
    <t>Three Hundred Seventy One and Cents Forty Seven Only</t>
  </si>
  <si>
    <t>Menara Star, 15 Jalan 16/11, Section 16</t>
  </si>
  <si>
    <t>46350 Petaling Jaya</t>
  </si>
  <si>
    <t>Tel : 1800 88 7827</t>
  </si>
  <si>
    <t xml:space="preserve">Being rental of sound system and 2 units of Spot </t>
  </si>
  <si>
    <t>Seven Hundred Only</t>
  </si>
  <si>
    <t>V2012/411</t>
  </si>
  <si>
    <t>10th May 2012</t>
  </si>
  <si>
    <t>361280</t>
  </si>
  <si>
    <t>Roselyn Lee Moh Ling</t>
  </si>
  <si>
    <t>I/C : 810114-07-5364</t>
  </si>
  <si>
    <t xml:space="preserve">Salary - Apr </t>
  </si>
  <si>
    <t>Net salary for the month of Apr 2012</t>
  </si>
  <si>
    <t>One Thousand Fifty Two and Cents Eight Only</t>
  </si>
  <si>
    <t>OE Fine Jewellery Sdn Bhd</t>
  </si>
  <si>
    <t>Bayan Lepas</t>
  </si>
  <si>
    <t>FIZ 3</t>
  </si>
  <si>
    <t>07/05/2012</t>
  </si>
  <si>
    <t>(I/C : 500705-10-5162)</t>
  </si>
  <si>
    <t>Statement of claims dated</t>
  </si>
  <si>
    <t>Dewan Sri Pinang</t>
  </si>
  <si>
    <t>Lebuh Light</t>
  </si>
  <si>
    <t>Tel : 04-2622 462</t>
  </si>
  <si>
    <t>Penang Philharmonic</t>
  </si>
  <si>
    <t xml:space="preserve">Voucher No.:  </t>
  </si>
  <si>
    <t>Penang Ladies Chin Woo Athletic Association</t>
  </si>
  <si>
    <t>WT Lim Food Products Sdn BHd</t>
  </si>
  <si>
    <t>3A, Jalan Gottlieb</t>
  </si>
  <si>
    <t>Tel : 04-228 1063</t>
  </si>
  <si>
    <t>Fax : 04-228 1072</t>
  </si>
  <si>
    <t>30th May 2012</t>
  </si>
  <si>
    <t>Bill dated 13.05.2012</t>
  </si>
  <si>
    <t>V2012/469</t>
  </si>
  <si>
    <t>361336</t>
  </si>
  <si>
    <t xml:space="preserve"> - Internet Charges (13/04-13/04)</t>
  </si>
  <si>
    <t xml:space="preserve">Rounding </t>
  </si>
  <si>
    <t>One Thousand Three Hundred Twenty Two and Cents Ninety Five Only</t>
  </si>
  <si>
    <t>Tong yan Travel &amp; Tours Sdn Bhd</t>
  </si>
  <si>
    <t>V2012/473</t>
  </si>
  <si>
    <t>361340</t>
  </si>
  <si>
    <t>Last FriSatSun of the Month - May 2012</t>
  </si>
  <si>
    <t>26/05/2012</t>
  </si>
  <si>
    <t>1647</t>
  </si>
  <si>
    <t>Lights at Khoo Kongsi on 26/05/2012</t>
  </si>
  <si>
    <t>7th June 2012</t>
  </si>
  <si>
    <t>V2012/513</t>
  </si>
  <si>
    <t>361380</t>
  </si>
  <si>
    <t>Pre &amp; Post Photo Shoot &amp; Design for Singapore Media</t>
  </si>
  <si>
    <t>Campaign</t>
  </si>
  <si>
    <t>23/05/2012</t>
  </si>
  <si>
    <t>INV 4158</t>
  </si>
  <si>
    <t xml:space="preserve">Finished Artwork &amp; Studio Materials </t>
  </si>
  <si>
    <t>RM250 x 17 pcs</t>
  </si>
  <si>
    <t>Four Thousand Two Hundred and Fifty Only</t>
  </si>
  <si>
    <t>V2012/429</t>
  </si>
  <si>
    <t>22nd May 2012</t>
  </si>
  <si>
    <t>TKS Exhibition Services Ltd</t>
  </si>
  <si>
    <t>RM601, Standhope House</t>
  </si>
  <si>
    <t>734 King's Road</t>
  </si>
  <si>
    <t>Quarry Bay Hong Kong</t>
  </si>
  <si>
    <t>03/05/2012</t>
  </si>
  <si>
    <t>ITE12-269</t>
  </si>
  <si>
    <t>ITE &amp; MICE Hong Kong 2012</t>
  </si>
  <si>
    <t xml:space="preserve">18 sqm Shell Scheme (Standard) </t>
  </si>
  <si>
    <t>5% Surcharge for 2 sides Open</t>
  </si>
  <si>
    <t>(USD8,316 @ RM3.134)</t>
  </si>
  <si>
    <t>JITE12-194</t>
  </si>
  <si>
    <t xml:space="preserve">Back Leather Chair. Square table &amp; board </t>
  </si>
  <si>
    <t>(USD840 @ RM3.134)</t>
  </si>
  <si>
    <t>Twenty Eight Thousand Six Hundred Ninety Four and Cents Ninety Only</t>
  </si>
  <si>
    <t>Singapore Media Campaign</t>
  </si>
  <si>
    <t>17th July 2012</t>
  </si>
  <si>
    <t>6% GST</t>
  </si>
  <si>
    <t>V2012/604</t>
  </si>
  <si>
    <t>411118</t>
  </si>
  <si>
    <t>AirAsia Taiwan Media FAM Trip on 8th - 10th May 2012</t>
  </si>
  <si>
    <t>PR10032</t>
  </si>
  <si>
    <t>Dinner for 10 pax</t>
  </si>
  <si>
    <t>Three Hundred Only</t>
  </si>
  <si>
    <t>Top Up Auto Air Cond Centre</t>
  </si>
  <si>
    <t>160 Jalan Gurdwara (Brick Klin Road)</t>
  </si>
  <si>
    <t>10300 George Town</t>
  </si>
  <si>
    <t>Tel : 012-434 3760</t>
  </si>
  <si>
    <t>PR/793/2012/HL</t>
  </si>
  <si>
    <t>Dated 04.07.2012</t>
  </si>
  <si>
    <t>Bumper Light (Right)</t>
  </si>
  <si>
    <t xml:space="preserve">One Hundred and Forty Five Only </t>
  </si>
  <si>
    <t>Tel : 04-228 1822</t>
  </si>
  <si>
    <t>Fax : 04-226 1042</t>
  </si>
  <si>
    <t>Macalister Road</t>
  </si>
  <si>
    <t>Tel : 04-229 5855</t>
  </si>
  <si>
    <t>SGGS Band</t>
  </si>
  <si>
    <t>15th Aug 2012</t>
  </si>
  <si>
    <t>V2012/727</t>
  </si>
  <si>
    <t>411239</t>
  </si>
  <si>
    <t>1st Aug - 14th Aug 2012</t>
  </si>
  <si>
    <t>One Hundred Fifty Eight and Cents Ten Only</t>
  </si>
  <si>
    <t>V2012/728</t>
  </si>
  <si>
    <t>411240</t>
  </si>
  <si>
    <t>Nursuliana Bt Sulaiman</t>
  </si>
  <si>
    <t>I/C : 770506-10-5020</t>
  </si>
  <si>
    <t>20-3-2 Isabella Villa</t>
  </si>
  <si>
    <t>Tel : 04-228 4595</t>
  </si>
  <si>
    <t>V2012/771</t>
  </si>
  <si>
    <t>4th September 2012</t>
  </si>
  <si>
    <t>411283</t>
  </si>
  <si>
    <t>Welcome to Penang Expo 2012</t>
  </si>
  <si>
    <t>Participation Fee</t>
  </si>
  <si>
    <t xml:space="preserve"> - Table 6' x 3'</t>
  </si>
  <si>
    <t>Two Hundred Only</t>
  </si>
  <si>
    <t>Spiral Synergy Sdn Bhd</t>
  </si>
  <si>
    <t>12th September 2012</t>
  </si>
  <si>
    <t>Persatuan Pendidikan Seni Pulau Pinang (ARTS-ED)</t>
  </si>
  <si>
    <t xml:space="preserve">Date            :     </t>
  </si>
  <si>
    <t>19, Cannon Street</t>
  </si>
  <si>
    <t xml:space="preserve">10200 Georgetown </t>
  </si>
  <si>
    <t>Tel &amp;  : 04-263 3471</t>
  </si>
  <si>
    <t>V2012/829</t>
  </si>
  <si>
    <t>411340</t>
  </si>
  <si>
    <t>Persatuan Kesenian Noise Pulau Pinang</t>
  </si>
  <si>
    <t>Pertandingan Drama Sekolah Kebangsaan Cina</t>
  </si>
  <si>
    <t>Three Thousand Only</t>
  </si>
  <si>
    <t>21st Sept 2012</t>
  </si>
  <si>
    <t>Reissue due to Cheque return on 06/08</t>
  </si>
  <si>
    <t>V2012/610 dd 17/07/2012</t>
  </si>
  <si>
    <t>V2012/857</t>
  </si>
  <si>
    <t>411363</t>
  </si>
  <si>
    <t>PIBG Sek Men Keb Bagan Jaya</t>
  </si>
  <si>
    <t>Jalan Ong Yi How</t>
  </si>
  <si>
    <t>13400 Butterworth</t>
  </si>
  <si>
    <t>Tel : 04-324 5914</t>
  </si>
  <si>
    <t>Last Fri Sat Sun of the month - August 2012</t>
  </si>
  <si>
    <t xml:space="preserve">Pancaragan Performance at Botanical Garden on </t>
  </si>
  <si>
    <t>26/08/2012</t>
  </si>
  <si>
    <t>Qisdayana Boutique</t>
  </si>
  <si>
    <t>Blok 1-2-12, Jalan Veterinary</t>
  </si>
  <si>
    <t>Taman Sri Pinang</t>
  </si>
  <si>
    <t>10150 Penang</t>
  </si>
  <si>
    <t>Tel : 04-281 5117</t>
  </si>
  <si>
    <t>SLE Events</t>
  </si>
  <si>
    <t>24, Taman Perak</t>
  </si>
  <si>
    <t>10150 George Town Penang</t>
  </si>
  <si>
    <t>Raya Light &amp; Sound Show on 16/09/2012</t>
  </si>
  <si>
    <t>18th Sept 2012</t>
  </si>
  <si>
    <t>V2011/838</t>
  </si>
  <si>
    <t>The Howard Plaza Hotel Taipei</t>
  </si>
  <si>
    <t>Sales Mission to Taiwan on 24th - 27th September 2012</t>
  </si>
  <si>
    <t>(USD4,000 @ 3.0890)</t>
  </si>
  <si>
    <t xml:space="preserve">Partial payment of Banquet Hall Rental &amp; </t>
  </si>
  <si>
    <t xml:space="preserve">Lunch for Seminar </t>
  </si>
  <si>
    <t>Twelve Thousand Three Hundred and Fifty Six only</t>
  </si>
  <si>
    <t>8, Lorong Pauh 8</t>
  </si>
  <si>
    <t xml:space="preserve">Taman Pauh </t>
  </si>
  <si>
    <t>13500 Permatamg Pauh</t>
  </si>
  <si>
    <t>Seberang Perai</t>
  </si>
  <si>
    <t>17/09/2012</t>
  </si>
  <si>
    <t>1st Oct 2012</t>
  </si>
  <si>
    <t>Tourist Information Centre</t>
  </si>
  <si>
    <t>V2012/892</t>
  </si>
  <si>
    <t>411397</t>
  </si>
  <si>
    <t>Cleaning Service for the month of Sept 2012</t>
  </si>
  <si>
    <t xml:space="preserve"> - TIC  (RM10 x 17 days)</t>
  </si>
  <si>
    <t>One Hundred and Seventy Only</t>
  </si>
  <si>
    <t>4th Oct 2012</t>
  </si>
  <si>
    <t>Statement of Claims</t>
  </si>
  <si>
    <t>V2012/900</t>
  </si>
  <si>
    <t>460605</t>
  </si>
  <si>
    <t>Roslin Bin Saidin</t>
  </si>
  <si>
    <t>(I/C No: 611021-02-5649)</t>
  </si>
  <si>
    <t>INV 13/912</t>
  </si>
  <si>
    <t>Emcee fees</t>
  </si>
  <si>
    <t>Bangkok Travel Agent &amp; Media Networking Session on</t>
  </si>
  <si>
    <t>5th Oct 2012</t>
  </si>
  <si>
    <t>President Hotel And Tower Co</t>
  </si>
  <si>
    <t>971, 973 Ploenchit Road</t>
  </si>
  <si>
    <t>Bangkok 10330 Thailand</t>
  </si>
  <si>
    <t>Intercontinental Hotel</t>
  </si>
  <si>
    <t>19/09/2012</t>
  </si>
  <si>
    <t>Proforma Inv</t>
  </si>
  <si>
    <t>Half day meeting package</t>
  </si>
  <si>
    <t>LCD Projector</t>
  </si>
  <si>
    <t>(THB91,800 @ RM9.25)</t>
  </si>
  <si>
    <t>(THB 10,000 @ RM9.25)</t>
  </si>
  <si>
    <t>Eleven Thousand Thirty Four and Cents Fifty Eight Only</t>
  </si>
  <si>
    <t>11th Oct 2012</t>
  </si>
  <si>
    <t xml:space="preserve">Last Fri,Sat &amp; Sun for the month Sept'12 </t>
  </si>
  <si>
    <t>on 28th Sept to 30th Sept 2012</t>
  </si>
  <si>
    <t>V2012/913</t>
  </si>
  <si>
    <t>460618</t>
  </si>
  <si>
    <t>PIBG SJK (C) Chong Cheng</t>
  </si>
  <si>
    <t>Sungai Ara</t>
  </si>
  <si>
    <t xml:space="preserve">Penang </t>
  </si>
  <si>
    <t>Tel : 04-643 2821</t>
  </si>
  <si>
    <t>Letter dated 02.10.2012</t>
  </si>
  <si>
    <t>Performance at Botanical Garden on 30/09/2012</t>
  </si>
  <si>
    <t>President Hotel Sdn Bhd</t>
  </si>
  <si>
    <t>Parkroyal Penang Resort</t>
  </si>
  <si>
    <t>Batu Feringghi Beach</t>
  </si>
  <si>
    <t>Tel : 04-881 1133</t>
  </si>
  <si>
    <t>V2012/961</t>
  </si>
  <si>
    <t>460666</t>
  </si>
  <si>
    <t>Payment for Socso Contribution for the salary for Oct 2012</t>
  </si>
  <si>
    <t>30th Oct 2012</t>
  </si>
  <si>
    <t>One Thousand One Hundred Seventy Four and Cents Fifty Only</t>
  </si>
  <si>
    <t>V2012/965</t>
  </si>
  <si>
    <t>23th Oct 2012</t>
  </si>
  <si>
    <t>460671</t>
  </si>
  <si>
    <t>PDC Consultancy Sdn Bhd</t>
  </si>
  <si>
    <t>Being refund of PBA deposits - No.4, Lebuh Nipah,</t>
  </si>
  <si>
    <t>Sg. Nibong</t>
  </si>
  <si>
    <t>(Cheque bank in dd 19/10/2012, MBB175393)</t>
  </si>
  <si>
    <t xml:space="preserve">No 1, Level 1, Pesiaran Mahsuri
</t>
  </si>
  <si>
    <t>Bandar Bayan Baru</t>
  </si>
  <si>
    <t>11909 Pulau Pinang</t>
  </si>
  <si>
    <t>Tel : 04-644 8913</t>
  </si>
  <si>
    <t>1st Nov 2012</t>
  </si>
  <si>
    <t>V2012/979</t>
  </si>
  <si>
    <t>460682</t>
  </si>
  <si>
    <t>12/10/2012</t>
  </si>
  <si>
    <t>Plywood Panels and Screens</t>
  </si>
  <si>
    <t>Platforms</t>
  </si>
  <si>
    <t>Seven Thousand and Four Hundred Only</t>
  </si>
  <si>
    <t>Pancaragam Sekolah Menengah Union</t>
  </si>
  <si>
    <t>SMJK Union</t>
  </si>
  <si>
    <t>132, Jalan York</t>
  </si>
  <si>
    <t>Tel : 04-227 7411</t>
  </si>
  <si>
    <t>Fax : 04-229 8048</t>
  </si>
  <si>
    <t>Two Hundred and Fifty Only</t>
  </si>
  <si>
    <t>V2012/998</t>
  </si>
  <si>
    <t>460701</t>
  </si>
  <si>
    <t>Tan Chee Hean</t>
  </si>
  <si>
    <t>Persatuan Bekas Murid-Murid Sekolah Phor Tay</t>
  </si>
  <si>
    <t>19A, Jalan Bagan Jermal</t>
  </si>
  <si>
    <t>Last Fri, Sat &amp; Sun for the month - Oct' 12</t>
  </si>
  <si>
    <t>18/10/2012</t>
  </si>
  <si>
    <t>INV PT-1017</t>
  </si>
  <si>
    <t>Performance at Khoo Kongsi on 27/10/2012</t>
  </si>
  <si>
    <t>(Dancing &amp; Singing)</t>
  </si>
  <si>
    <t>V2012/1025</t>
  </si>
  <si>
    <t>460728</t>
  </si>
  <si>
    <t>Khazanah Nasional Berhad - Heritage</t>
  </si>
  <si>
    <t>Think City Sdn Bhd</t>
  </si>
  <si>
    <t>Level 14, EPF Building</t>
  </si>
  <si>
    <t xml:space="preserve">38, Jalan Sultan Ahmad Shah </t>
  </si>
  <si>
    <t>10050 George Town Penang</t>
  </si>
  <si>
    <t>Place Making Training Workshop on 6th &amp; 7th Nov 2012</t>
  </si>
  <si>
    <t xml:space="preserve"> - Ooi Geok Ling</t>
  </si>
  <si>
    <t>23/10/2012</t>
  </si>
  <si>
    <t>PPS 009</t>
  </si>
  <si>
    <t>19th Nov 2012</t>
  </si>
  <si>
    <t>George Town Literary Festival 2012</t>
  </si>
  <si>
    <t>V2012/1057</t>
  </si>
  <si>
    <t>460759</t>
  </si>
  <si>
    <t xml:space="preserve">Electrical Services Installation for Conference Room &amp; </t>
  </si>
  <si>
    <t>Store Room</t>
  </si>
  <si>
    <t>Thirty Thousand Six Hundred and Thirty Eight Only</t>
  </si>
  <si>
    <t>Penang Institute</t>
  </si>
  <si>
    <t>No.10, Brown Road</t>
  </si>
  <si>
    <t>Tel : 04-228 3306</t>
  </si>
  <si>
    <t>Fax : 04-226 7042</t>
  </si>
  <si>
    <t>Pelindung Dahan Sdn Bhd</t>
  </si>
  <si>
    <t>Hotel Penaga Penang</t>
  </si>
  <si>
    <t>Corner of Jalan Hutton &amp; Lebuh Clarke</t>
  </si>
  <si>
    <t>10050 George Town</t>
  </si>
  <si>
    <t>Tel : 04-261 1891</t>
  </si>
  <si>
    <t>Fax : 04-261 1893</t>
  </si>
  <si>
    <t>Surayah Abd Aziz</t>
  </si>
  <si>
    <t>9-13-1, Coastal Towers</t>
  </si>
  <si>
    <t>Persiaran Tg Bunga 2</t>
  </si>
  <si>
    <t>11200 Penang</t>
  </si>
  <si>
    <t>Tel : 04-890 6307</t>
  </si>
  <si>
    <t>75, Rangoon Road</t>
  </si>
  <si>
    <t>Tel : 04-229 1199</t>
  </si>
  <si>
    <t>Fax : 04-229 9998</t>
  </si>
  <si>
    <t>Fatin Faieznur binti Tubani</t>
  </si>
  <si>
    <t>(I/C : 930321-08-5650)</t>
  </si>
  <si>
    <t>Memo dated 25.10.2012</t>
  </si>
  <si>
    <t>Nurfaizah binti Mohd Sabry</t>
  </si>
  <si>
    <t>(I/C : 921009-02-5228)</t>
  </si>
  <si>
    <t>period from 29th October 2012 to 4th March 2013</t>
  </si>
  <si>
    <t>12th Dec 2012</t>
  </si>
  <si>
    <t xml:space="preserve">CIMB </t>
  </si>
  <si>
    <t>V2012/1140</t>
  </si>
  <si>
    <t>460842</t>
  </si>
  <si>
    <t>30/11/2012</t>
  </si>
  <si>
    <t>5075/12</t>
  </si>
  <si>
    <t xml:space="preserve">Be Re-formatting,Re-programming &amp; </t>
  </si>
  <si>
    <t>Re-installation of Lenovo PC System</t>
  </si>
  <si>
    <t>(Lydia  &amp; Affa's PC)</t>
  </si>
  <si>
    <t>29/11/2012</t>
  </si>
  <si>
    <t>5073/12</t>
  </si>
  <si>
    <t>Dell Optiplex Desktop x 3 units</t>
  </si>
  <si>
    <t>(Affa, Lydia &amp; Evelyn)</t>
  </si>
  <si>
    <t>Microsoft Office Home &amp; Business 2010 x 3</t>
  </si>
  <si>
    <t>TP-Link Wireless USB Adapter</t>
  </si>
  <si>
    <t>Seven Thousand One Hundred and Ninety Only</t>
  </si>
  <si>
    <t>Persatuan Chingay Pulau Pinang</t>
  </si>
  <si>
    <t>191, Magazine Road</t>
  </si>
  <si>
    <t>Tel : 04-261 8207</t>
  </si>
  <si>
    <t>Raja Muda Selangor International Regatta on 19th-21st Nov 2012</t>
  </si>
  <si>
    <t>One Thousand and Five Hundred Only</t>
  </si>
  <si>
    <t>V2012/1142</t>
  </si>
  <si>
    <t>460844</t>
  </si>
  <si>
    <t>No.39, Anson Road</t>
  </si>
  <si>
    <t>Tel : 04-227 1648</t>
  </si>
  <si>
    <t>Letter dated 06/12/2012</t>
  </si>
  <si>
    <t>Wushu Performance on 21/11/2012</t>
  </si>
  <si>
    <t>V2012/1143</t>
  </si>
  <si>
    <t>460845</t>
  </si>
  <si>
    <t>INV 1675</t>
  </si>
  <si>
    <t xml:space="preserve">Additional Airport Transfer </t>
  </si>
  <si>
    <t xml:space="preserve">Additional usage of Shuttle Bus </t>
  </si>
  <si>
    <t>Two Hundred and Eighty Five Only</t>
  </si>
  <si>
    <t>Vcreate Sdn Bhd</t>
  </si>
  <si>
    <t>56, Jalan Gopeng</t>
  </si>
  <si>
    <t xml:space="preserve">10460 Penang </t>
  </si>
  <si>
    <t>Tel : 04-229 3254</t>
  </si>
  <si>
    <t>Fax : 04-227 5254</t>
  </si>
  <si>
    <t>V2012/1150</t>
  </si>
  <si>
    <t>460852</t>
  </si>
  <si>
    <t>Tiger Tales Inflight Magazine Trip on 22nd - 24th Nov 2012</t>
  </si>
  <si>
    <t>TRP2012/11/108</t>
  </si>
  <si>
    <t>Airport Transfer</t>
  </si>
  <si>
    <t>Seventy Only</t>
  </si>
  <si>
    <t>Eighty Thousand Only</t>
  </si>
  <si>
    <t>31st Dec 2012</t>
  </si>
  <si>
    <t>V2012/1198</t>
  </si>
  <si>
    <t>496752</t>
  </si>
  <si>
    <t>Worldwide Tyre Auto Services Sdn Bhd</t>
  </si>
  <si>
    <t>10300 Geogetown</t>
  </si>
  <si>
    <t>91A &amp; 93, Jalan Gurdwara</t>
  </si>
  <si>
    <t>Tel / Fax : 04-226 5375</t>
  </si>
  <si>
    <t>Upkeep of M/Vehicle - PJP 1311</t>
  </si>
  <si>
    <t>21/12/2012</t>
  </si>
  <si>
    <t>INV 1960</t>
  </si>
  <si>
    <t>Four Hundred and Eighty Only</t>
  </si>
  <si>
    <t>Changing of Tyre x 2 pcs</t>
  </si>
  <si>
    <t>26/12/2012</t>
  </si>
  <si>
    <t>Usains Holding Sdn Bhd</t>
  </si>
  <si>
    <t>Universiti Sains Malaysia</t>
  </si>
  <si>
    <t>11800 USM Penang</t>
  </si>
  <si>
    <t>Tel : 04-653 3888</t>
  </si>
  <si>
    <t>Fax : 04-658 3655</t>
  </si>
  <si>
    <t>15th Jan 2013</t>
  </si>
  <si>
    <t>V2013/036</t>
  </si>
  <si>
    <t>496797</t>
  </si>
  <si>
    <t xml:space="preserve">Prime Engineering </t>
  </si>
  <si>
    <t>11-10-08, Tingkat Paya Terubong 2</t>
  </si>
  <si>
    <t xml:space="preserve">Paya Terubong </t>
  </si>
  <si>
    <t>11600 Air Itam</t>
  </si>
  <si>
    <t>Tel : 012-421 8828</t>
  </si>
  <si>
    <t>No.6232</t>
  </si>
  <si>
    <t>One Hundred and Sixty Five Only</t>
  </si>
  <si>
    <t>RM15 x 11 sets</t>
  </si>
  <si>
    <t>Ceiling cassette split air cond service for PGT &amp; TIC</t>
  </si>
  <si>
    <t>Ulysses Wordstation</t>
  </si>
  <si>
    <t>23, Reservoir Crescent</t>
  </si>
  <si>
    <t>11500 Air Itam</t>
  </si>
  <si>
    <t>Tel : 016-319 6160</t>
  </si>
  <si>
    <t xml:space="preserve">Cheque No. :  </t>
  </si>
  <si>
    <t>Yeap Peng Hoe</t>
  </si>
  <si>
    <t>I/C : 500802-07-5137</t>
  </si>
  <si>
    <t>V2013/081</t>
  </si>
  <si>
    <t>4th Feb 2013</t>
  </si>
  <si>
    <t>PT Wira Pemungkas Pariwara</t>
  </si>
  <si>
    <t>Tempo Scan Tower</t>
  </si>
  <si>
    <t>23rd Floor, Jl HR Rasuna Said Kav</t>
  </si>
  <si>
    <t>3-4 Jakarta 12950</t>
  </si>
  <si>
    <t>AirAsia Indonesia Campaign</t>
  </si>
  <si>
    <t>MS1202596/1</t>
  </si>
  <si>
    <t>MS1202755/1</t>
  </si>
  <si>
    <t>MS1205141/1</t>
  </si>
  <si>
    <t>MS1202758/1</t>
  </si>
  <si>
    <t>Radio Advertisement in Jakarta Sindo FM</t>
  </si>
  <si>
    <t>Radio Advertisement in Surabaya Sindo FM</t>
  </si>
  <si>
    <t>Radio Advertisement in Jakarta Cakrawala FM</t>
  </si>
  <si>
    <t>Radio Advertisement in Jkt Strato FM (Suzana Group)</t>
  </si>
  <si>
    <t>MS1202943/1</t>
  </si>
  <si>
    <t>MS1202595/3</t>
  </si>
  <si>
    <t>MS1202948/1</t>
  </si>
  <si>
    <t>Newspaper Advertisement in Tribun Jabar</t>
  </si>
  <si>
    <t>Newspaper Advertisement in Pikiran Rakyat</t>
  </si>
  <si>
    <t>Newspaper Advertisement in Surya, Media Indonesia,</t>
  </si>
  <si>
    <t>Guo Ji Ri Bao &amp; Shang Bao</t>
  </si>
  <si>
    <t>MS1202957/1</t>
  </si>
  <si>
    <t>MS1202955/1</t>
  </si>
  <si>
    <t>MS1202952/1</t>
  </si>
  <si>
    <t>Indah-Permata Hijau, Puri-Kebon Jeruk</t>
  </si>
  <si>
    <t>Magazine Advertisement in Kartini</t>
  </si>
  <si>
    <t>Magazine Advertisement inTempo</t>
  </si>
  <si>
    <t xml:space="preserve">Magazine Advertisement in Gading, Pluit Pik, Pondok </t>
  </si>
  <si>
    <t>Thirty Nine Thousand Nine Hundred Five and Cents Thirty Two Only</t>
  </si>
  <si>
    <t>(INR 1 = RM0.00031457)</t>
  </si>
  <si>
    <t>Loss of Forex Exchange rate</t>
  </si>
  <si>
    <t>Cheque No.   :</t>
  </si>
  <si>
    <t>Noor hayati Md Talha</t>
  </si>
  <si>
    <t>11A-3-8, Halaman Cendana</t>
  </si>
  <si>
    <t>Persiaran Mayang Pasir 8</t>
  </si>
  <si>
    <t>Bukit Gendong</t>
  </si>
  <si>
    <t>11950 Penang</t>
  </si>
  <si>
    <t xml:space="preserve">Eng - Malay </t>
  </si>
  <si>
    <t>Pewter Art Trophy Manufacturers Sdn Bhd</t>
  </si>
  <si>
    <t>Lot 528, Kampung Juru</t>
  </si>
  <si>
    <t>S.P.T Pulau Pinang</t>
  </si>
  <si>
    <t>Tel : 04-507 5290</t>
  </si>
  <si>
    <t>1st Mar 2013</t>
  </si>
  <si>
    <t xml:space="preserve">Cheque No. : </t>
  </si>
  <si>
    <t>V2013/171</t>
  </si>
  <si>
    <t>496903</t>
  </si>
  <si>
    <t xml:space="preserve"> - 1st Mar to 4th Mar 2013</t>
  </si>
  <si>
    <t>Forty Five and Cents Twenty Only</t>
  </si>
  <si>
    <t>V2013/172</t>
  </si>
  <si>
    <t>496904</t>
  </si>
  <si>
    <t xml:space="preserve">Motorist Companion </t>
  </si>
  <si>
    <t>15th Mar 2013</t>
  </si>
  <si>
    <t>07/03/2013</t>
  </si>
  <si>
    <t>V2013/241</t>
  </si>
  <si>
    <t>496939</t>
  </si>
  <si>
    <t>Medan Fair 2013 on 14th - 17th Mar 2013</t>
  </si>
  <si>
    <t>Translation fee - 3 Stremers</t>
  </si>
  <si>
    <t>Eighty Only</t>
  </si>
  <si>
    <t>Cloth Bag (Short Strap)</t>
  </si>
  <si>
    <t>25th Mar 2013</t>
  </si>
  <si>
    <t>V2013/271</t>
  </si>
  <si>
    <t>496954</t>
  </si>
  <si>
    <t>Sagar Restaurant Sdn Bhd</t>
  </si>
  <si>
    <t>No.16, Lorong Maarof</t>
  </si>
  <si>
    <t>Bangsar Park</t>
  </si>
  <si>
    <t>59000 Kuala Lumpur</t>
  </si>
  <si>
    <t>Tel : 03-2284 2532</t>
  </si>
  <si>
    <t>City Tour &amp; Networking Dinner for Indian Travel Agents</t>
  </si>
  <si>
    <t>13/03/2013</t>
  </si>
  <si>
    <t>T/M/1002/13</t>
  </si>
  <si>
    <t xml:space="preserve">Dinner for 50 pax @ RM30 on 13/03/2013 </t>
  </si>
  <si>
    <t>Shin Yaera</t>
  </si>
  <si>
    <t>31B-07-02, Grand View Condominium</t>
  </si>
  <si>
    <t>Jalan Tanjung Tokong</t>
  </si>
  <si>
    <t>Tel : 016-424 2541</t>
  </si>
  <si>
    <t>One Thousand and Two Hundred Only</t>
  </si>
  <si>
    <t>H/P : 016-4465040 (Joyce)</t>
  </si>
  <si>
    <t>16th Apr 2013</t>
  </si>
  <si>
    <t>PEEC Tentages Sdn Bhd</t>
  </si>
  <si>
    <t>607-I, Jalan Lembah Permai</t>
  </si>
  <si>
    <t>Tanjung Bungah</t>
  </si>
  <si>
    <t>Tel : 04-890 4890</t>
  </si>
  <si>
    <t>Fax : 04-890 6712</t>
  </si>
  <si>
    <t>(To replace previous cheque)</t>
  </si>
  <si>
    <t>V2013/356</t>
  </si>
  <si>
    <t>496712</t>
  </si>
  <si>
    <t>17th April 2013</t>
  </si>
  <si>
    <t>V2013/382</t>
  </si>
  <si>
    <t>496719</t>
  </si>
  <si>
    <t>Pak Khai Lin</t>
  </si>
  <si>
    <t>Carolyn Pak Graphic Designer</t>
  </si>
  <si>
    <t>14, Jalan Taman Thean Teik 4</t>
  </si>
  <si>
    <t>Tel : 012-474 1869</t>
  </si>
  <si>
    <t>MICE Booklet (Korea &amp; Chinese Version)</t>
  </si>
  <si>
    <t>09/04/2013</t>
  </si>
  <si>
    <t>INV 084</t>
  </si>
  <si>
    <t>Redesign of MICE Booklet</t>
  </si>
  <si>
    <t xml:space="preserve"> - A5 size booklet 20 pages inclusive of cover</t>
  </si>
  <si>
    <t>Four Thousand Only</t>
  </si>
  <si>
    <t>29th April 2013</t>
  </si>
  <si>
    <t>V2013/387</t>
  </si>
  <si>
    <t>496724</t>
  </si>
  <si>
    <t>Reimbursment of :</t>
  </si>
  <si>
    <t>Pekan Raya Sumatera Utara (Medan Fair) ke-42 2013 on</t>
  </si>
  <si>
    <t>14th Mar  - 17th Mar 2013</t>
  </si>
  <si>
    <t>Memo dated  05.04.2013</t>
  </si>
  <si>
    <t xml:space="preserve">Meal Allowance </t>
  </si>
  <si>
    <t>Transportation</t>
  </si>
  <si>
    <t>Seven Hundred and Thirty Six Only</t>
  </si>
  <si>
    <t>14th May 2013</t>
  </si>
  <si>
    <t>09/05/2013</t>
  </si>
  <si>
    <t>V2013/422</t>
  </si>
  <si>
    <t>562503</t>
  </si>
  <si>
    <t>StudyMalaysia Exhibition Sdn Bhd</t>
  </si>
  <si>
    <t>No.60-3, Jalan PJU 1/3B</t>
  </si>
  <si>
    <t>SunwayMas Commercial Centre</t>
  </si>
  <si>
    <t>47301 Petaling Jaya</t>
  </si>
  <si>
    <t>Tel : 03-7880 8837</t>
  </si>
  <si>
    <t>INV # 00583</t>
  </si>
  <si>
    <t>PCTE  - NAPEI 32nd Malaysia Education Fair 2013</t>
  </si>
  <si>
    <t xml:space="preserve">Rental of Booth (3m x 3m shell scheme) </t>
  </si>
  <si>
    <t>(RM4,700 x 2)</t>
  </si>
  <si>
    <t>Nine Thousand and Four Hundred Only</t>
  </si>
  <si>
    <t>V2013/423</t>
  </si>
  <si>
    <t>562504</t>
  </si>
  <si>
    <t>Shockwave Enterprise</t>
  </si>
  <si>
    <t xml:space="preserve">10150 George Town </t>
  </si>
  <si>
    <t>Tel : 017-474 1098</t>
  </si>
  <si>
    <t>Last Fri, Sat &amp; Sun for the month of Apr'13</t>
  </si>
  <si>
    <t>27/04/2013</t>
  </si>
  <si>
    <t>INV # i2113</t>
  </si>
  <si>
    <t>Being rental of sound system on 27/04/2013</t>
  </si>
  <si>
    <t xml:space="preserve"> - Hotel Accommodation</t>
  </si>
  <si>
    <t>31st May 2013</t>
  </si>
  <si>
    <t xml:space="preserve">Last Fri, Sat &amp; Sun for the month of May'13 </t>
  </si>
  <si>
    <t>V2013/476</t>
  </si>
  <si>
    <t>562550</t>
  </si>
  <si>
    <t>Orkes Tionghua SMCL</t>
  </si>
  <si>
    <t>S.M.J.K. Chung Ling Pulau Pinang</t>
  </si>
  <si>
    <t>Kampung Baru</t>
  </si>
  <si>
    <t>Tel : 04 8282 435</t>
  </si>
  <si>
    <t>26/05/2013</t>
  </si>
  <si>
    <t>Letter</t>
  </si>
  <si>
    <t>Chinese Orchestra Performance @ Khoo Kongsi</t>
  </si>
  <si>
    <t>on 25/05/2013</t>
  </si>
  <si>
    <t>Two Thousand and Seven Hundred Only</t>
  </si>
  <si>
    <t>Last Fri, Sat &amp; Sun for the month of May'13</t>
  </si>
  <si>
    <t>PA System for Khoo Kongsi</t>
  </si>
  <si>
    <t>Wind Orkestra SMJK Heng Ee</t>
  </si>
  <si>
    <t>99, Jalan Hamilton</t>
  </si>
  <si>
    <t>Tel : 04-282 4402</t>
  </si>
  <si>
    <t>Music in the garden @ Botanic Garden on 26/05/2013</t>
  </si>
  <si>
    <t xml:space="preserve">Unico Events Management </t>
  </si>
  <si>
    <t>No.396B, Level 2m Wayton Commercial Building</t>
  </si>
  <si>
    <t>Jalan Burma, 10350 Penang</t>
  </si>
  <si>
    <t>Tel : 04-228 1731</t>
  </si>
  <si>
    <t>Tan Chong Lum</t>
  </si>
  <si>
    <t>Tour Guide</t>
  </si>
  <si>
    <t>Sage Software Sdn Bhd</t>
  </si>
  <si>
    <t>Three Hundred and Sixty Only</t>
  </si>
  <si>
    <t>V2013/581</t>
  </si>
  <si>
    <t>1st July 2013</t>
  </si>
  <si>
    <t>19/04/2013</t>
  </si>
  <si>
    <t>1800000802</t>
  </si>
  <si>
    <t>Media &amp; Production for North-East Line</t>
  </si>
  <si>
    <t>1800000803</t>
  </si>
  <si>
    <t>1800000801</t>
  </si>
  <si>
    <t>Media &amp; Production for SuperBus Wholly Painted</t>
  </si>
  <si>
    <t>1800000804</t>
  </si>
  <si>
    <t>Five Hundred Ninety Five Thousand Six Hundred Sixteen and Cents Thirty Only</t>
  </si>
  <si>
    <t>16th July 2013</t>
  </si>
  <si>
    <t>Penang Economic Conference 2013</t>
  </si>
  <si>
    <t>01/07/2013</t>
  </si>
  <si>
    <t>V2013/599</t>
  </si>
  <si>
    <t>562643</t>
  </si>
  <si>
    <t>Ooi Choon Eng</t>
  </si>
  <si>
    <t>I/C : 580615-07-5249</t>
  </si>
  <si>
    <t>300613/6/2013</t>
  </si>
  <si>
    <t>Heritage Trails on 30/06/2013</t>
  </si>
  <si>
    <t>Public Performance Malaysia Sdn Bhd</t>
  </si>
  <si>
    <t>L-8-2, 8th Floor, Block L</t>
  </si>
  <si>
    <t>No.2, Jalan Solaris, Solaris Mont' Kiara</t>
  </si>
  <si>
    <t>Tel : 03-6207 2888</t>
  </si>
  <si>
    <t>Culture Japan Convention 2013</t>
  </si>
  <si>
    <t>08/07/2013</t>
  </si>
  <si>
    <t>INV 162616</t>
  </si>
  <si>
    <t>Entertainment License for 2 days 17/08 &amp; 18/08/2013</t>
  </si>
  <si>
    <t>19th July 2013</t>
  </si>
  <si>
    <t>V2013/633</t>
  </si>
  <si>
    <t>562671</t>
  </si>
  <si>
    <t>Last Fri, Sat &amp; Sun for the month - June'13</t>
  </si>
  <si>
    <t>21/06/2013</t>
  </si>
  <si>
    <t>Performance at Botanic Garden on 30/06/2013</t>
  </si>
  <si>
    <t>Ong Ab Bey</t>
  </si>
  <si>
    <t>(I/C : 840521-07-5262)</t>
  </si>
  <si>
    <t xml:space="preserve"> - Air Fare</t>
  </si>
  <si>
    <t>President Hotel Sdn BHd</t>
  </si>
  <si>
    <t>Nur Hafizah Binti Ahmad Shafri</t>
  </si>
  <si>
    <t>I/C : 910725-07-5804</t>
  </si>
  <si>
    <t>period from 22nd July - 30th Aug 2013</t>
  </si>
  <si>
    <t>Memo dated 24.04.2013</t>
  </si>
  <si>
    <t>1st Aug 2013</t>
  </si>
  <si>
    <t>V2013/673</t>
  </si>
  <si>
    <t>562702</t>
  </si>
  <si>
    <t>29th Floor, Menara Dion</t>
  </si>
  <si>
    <t>27, Jalan Sultan Ismail</t>
  </si>
  <si>
    <t>50250 KL</t>
  </si>
  <si>
    <t xml:space="preserve">Public Liability Insurane </t>
  </si>
  <si>
    <t>(Period : 17/08-18/08/2013)</t>
  </si>
  <si>
    <t>18/07/2013</t>
  </si>
  <si>
    <t>TDNB3116938</t>
  </si>
  <si>
    <t>Sum Insured : RM1,000,000</t>
  </si>
  <si>
    <t>One Thousand and Seventy Only</t>
  </si>
  <si>
    <t>Tokio Marine Insurances (Malaysia) Berhad</t>
  </si>
  <si>
    <t>Last Fri, Sat &amp; Sun for the month of July'13</t>
  </si>
  <si>
    <t>Master of Ceremonial</t>
  </si>
  <si>
    <t>Event Coordination</t>
  </si>
  <si>
    <t>Co-Opera Incorporated</t>
  </si>
  <si>
    <t>Lot414, Mosel Road</t>
  </si>
  <si>
    <t>Echunga, South Australia</t>
  </si>
  <si>
    <t>Tel : +61409695952</t>
  </si>
  <si>
    <t xml:space="preserve">Payment on-behalf of MPPP : </t>
  </si>
  <si>
    <t>Opera Performance of Johann Straus's Die Fiedermaus' in Penang</t>
  </si>
  <si>
    <t>on 28th Sept 2013</t>
  </si>
  <si>
    <t>15th Aug 2013</t>
  </si>
  <si>
    <t>V2013/721</t>
  </si>
  <si>
    <t>562740</t>
  </si>
  <si>
    <t xml:space="preserve">Penang Art Society </t>
  </si>
  <si>
    <t>6, Jalan Phuah Hin Leong</t>
  </si>
  <si>
    <t>Penang Art Society 60th Anniversary Celebration</t>
  </si>
  <si>
    <t>Sponsorhip</t>
  </si>
  <si>
    <t>V2013/722</t>
  </si>
  <si>
    <t>562741</t>
  </si>
  <si>
    <t>Proart Music</t>
  </si>
  <si>
    <t>488B-02-09, Midlands 1-Stop</t>
  </si>
  <si>
    <t xml:space="preserve">Jalan Burma </t>
  </si>
  <si>
    <t>Tel : 04-229 0253</t>
  </si>
  <si>
    <t>26/07/2013</t>
  </si>
  <si>
    <t>Performance @ Khoo Kongsi on 27/07/2013</t>
  </si>
  <si>
    <t>Tel : 04-264 2631</t>
  </si>
  <si>
    <t>Fax : 04-262 8421</t>
  </si>
  <si>
    <t>28th Aug 2013</t>
  </si>
  <si>
    <t>V2013/764</t>
  </si>
  <si>
    <t>562769</t>
  </si>
  <si>
    <t xml:space="preserve"> -1st Aug - 30th Aug 2013</t>
  </si>
  <si>
    <t>Rental of Table</t>
  </si>
  <si>
    <t>Stool</t>
  </si>
  <si>
    <t xml:space="preserve">Labour Charges to set-up </t>
  </si>
  <si>
    <t>Labour Charges to collect tables &amp; chairs</t>
  </si>
  <si>
    <t>Two Hundred and Seventy Only</t>
  </si>
  <si>
    <t>5th Sept 2013</t>
  </si>
  <si>
    <t>Music in the garden performance - Sitar &amp; Tabla</t>
  </si>
  <si>
    <t>V2013/810</t>
  </si>
  <si>
    <t>630353</t>
  </si>
  <si>
    <t>The China Press Berhad</t>
  </si>
  <si>
    <t>80, Jalan Riong</t>
  </si>
  <si>
    <t>Off Jalan Bangsar</t>
  </si>
  <si>
    <t>59100 Kuala Lumpur</t>
  </si>
  <si>
    <t>Booking No # 80488</t>
  </si>
  <si>
    <t>Incentive for MICE - Mid Autumn FestoRama 2013</t>
  </si>
  <si>
    <t>Front page 10cl x 10cm insertion with full colour</t>
  </si>
  <si>
    <t>(3 insertion)</t>
  </si>
  <si>
    <t>One Thousand Seven Hundred and Forty Nine Only</t>
  </si>
  <si>
    <t>V2013/814</t>
  </si>
  <si>
    <t>630357</t>
  </si>
  <si>
    <t>WnJ Services Sdn Bhd</t>
  </si>
  <si>
    <t>12, Thaton lane</t>
  </si>
  <si>
    <t>Tel : 1700 80 3939</t>
  </si>
  <si>
    <t>Fax : 04-227 2349</t>
  </si>
  <si>
    <t>16/08/2013</t>
  </si>
  <si>
    <t>IV-08-130059</t>
  </si>
  <si>
    <t>Cleaning service for SQCC Hall on 16/08 - 18/08/2013</t>
  </si>
  <si>
    <t>V2013/791</t>
  </si>
  <si>
    <t>The Mira Hong Kong</t>
  </si>
  <si>
    <t>118, Nathan Road</t>
  </si>
  <si>
    <t>Tsim Sha Tshui</t>
  </si>
  <si>
    <t>Dinner Reception on 12/09/2013</t>
  </si>
  <si>
    <t>(HKD900 nett x 60 pax)</t>
  </si>
  <si>
    <t>Appreciation Dinner for Agent in Hong Kong</t>
  </si>
  <si>
    <t>Twenty Three Thousand Three Hundred Forty One and Cents Ninety Six Only</t>
  </si>
  <si>
    <t>(HKD54,000 @ RM0.431703)</t>
  </si>
  <si>
    <t>Norizeight Ventures</t>
  </si>
  <si>
    <t>Unit 3A07 &amp; 507, Block G,Phileo Damansara 1</t>
  </si>
  <si>
    <t>No.9, Jalan 16/11</t>
  </si>
  <si>
    <t>Off Jalan Damansara, 46350 Petaling Jaya</t>
  </si>
  <si>
    <t>No20, Solok Sungai Pinang 3</t>
  </si>
  <si>
    <t>"Die Fledermaus" Performance on 28/09/2013</t>
  </si>
  <si>
    <t>R.O. Drinking water - 15 drums</t>
  </si>
  <si>
    <t>Rental of Hot &amp; Cold Water Dispenser - 3 units</t>
  </si>
  <si>
    <t>Workmanship</t>
  </si>
  <si>
    <t>Deposit for 3 units of water dispenser (Refundable)</t>
  </si>
  <si>
    <t>One Thousand Three Hundred and Twenty Only</t>
  </si>
  <si>
    <t>30th Sept 2013</t>
  </si>
  <si>
    <t>V2013/880</t>
  </si>
  <si>
    <t>630405</t>
  </si>
  <si>
    <t>Malaysia Airlines Australia &amp; New Zealand Top Agent</t>
  </si>
  <si>
    <t>FAM Trip on 3-5th Sept 2013</t>
  </si>
  <si>
    <t>06/09/2013</t>
  </si>
  <si>
    <t xml:space="preserve">INV 271021 - </t>
  </si>
  <si>
    <t xml:space="preserve">INV 271025  </t>
  </si>
  <si>
    <t xml:space="preserve">Hotel Accommodation - 3rd night </t>
  </si>
  <si>
    <t>RM346.84 x 6 rooms night</t>
  </si>
  <si>
    <t>V2013/881</t>
  </si>
  <si>
    <t>630406</t>
  </si>
  <si>
    <t>No.217, MK12, Jalan batu Maung</t>
  </si>
  <si>
    <t>The 2nd Mid Autumn FestoRama 2013</t>
  </si>
  <si>
    <t>16/09/2013</t>
  </si>
  <si>
    <t>INV 004568</t>
  </si>
  <si>
    <t>Power Point</t>
  </si>
  <si>
    <t>Transparent side wall cover</t>
  </si>
  <si>
    <t>Three Hundred and Fifty Five Only</t>
  </si>
  <si>
    <t xml:space="preserve">Reimbursement of : </t>
  </si>
  <si>
    <t>Yeap Kam Moey</t>
  </si>
  <si>
    <t>I/C : 570508-07-5076</t>
  </si>
  <si>
    <t>27/09/2013</t>
  </si>
  <si>
    <t>14th Oct 2013</t>
  </si>
  <si>
    <t>The Edge Communications Sdn Bhd</t>
  </si>
  <si>
    <t>Level 3, Menara KLK, No. 1 Jalan PJU 7/6</t>
  </si>
  <si>
    <t>Mutiara Damansara</t>
  </si>
  <si>
    <t>47810 Petaling Jaya</t>
  </si>
  <si>
    <t>Tel : 03-7721 8000</t>
  </si>
  <si>
    <t>George Town Literary Festival 2013</t>
  </si>
  <si>
    <t>10/10/2013</t>
  </si>
  <si>
    <t>Sixteen Thousand Five Hundred Ninety Four and Cents Thirty Only</t>
  </si>
  <si>
    <t>Last Fri, Sat &amp; Sun for the month of Sept '13</t>
  </si>
  <si>
    <t>V2013/940</t>
  </si>
  <si>
    <t>630459</t>
  </si>
  <si>
    <t>String Quartet performance at Botanical Garden on 29/9</t>
  </si>
  <si>
    <t>One Thosand and Six Hundred Only</t>
  </si>
  <si>
    <t>Woon Sze Chiann</t>
  </si>
  <si>
    <t>13th Sept 2013</t>
  </si>
  <si>
    <t>Thirty Three Thousand and Ninety Only</t>
  </si>
  <si>
    <t>V2013/902(A)</t>
  </si>
  <si>
    <t xml:space="preserve">Balance of Performance fee </t>
  </si>
  <si>
    <t>Fifty Five Thousand Thirty and Cents One Only</t>
  </si>
  <si>
    <t>18th Oct 2013</t>
  </si>
  <si>
    <t>V2013/965</t>
  </si>
  <si>
    <t>Republic Hotels &amp; Resort Limited</t>
  </si>
  <si>
    <t>Singapore Travel Agent Networking Session</t>
  </si>
  <si>
    <t>DC11011</t>
  </si>
  <si>
    <t>Half-day Meeting package for 60 pax</t>
  </si>
  <si>
    <t>10% service charge</t>
  </si>
  <si>
    <t xml:space="preserve">7% of GST </t>
  </si>
  <si>
    <t>Ten Thousand Four Hundred Eighty Six and Cents Sixty Five Only</t>
  </si>
  <si>
    <t>31st Oct 2013</t>
  </si>
  <si>
    <t>(I/C : 770105-07-5553)</t>
  </si>
  <si>
    <t>Cleaning service</t>
  </si>
  <si>
    <t xml:space="preserve">Ticket sales @ Switch </t>
  </si>
  <si>
    <t xml:space="preserve"> - RM100 x 56 </t>
  </si>
  <si>
    <t xml:space="preserve"> - RM60 x 55</t>
  </si>
  <si>
    <t xml:space="preserve"> - RM20 x 26</t>
  </si>
  <si>
    <t>Ticket sales @ TIC</t>
  </si>
  <si>
    <t xml:space="preserve"> - RM100 x 24</t>
  </si>
  <si>
    <t xml:space="preserve"> - RM20 x 18</t>
  </si>
  <si>
    <t>Fifteen Thousand Three Hundred and Fifty Five Only</t>
  </si>
  <si>
    <t>DIE Fledermaus 2013 Ticket Sales</t>
  </si>
  <si>
    <t>(Deduct) Credit card charges</t>
  </si>
  <si>
    <t>V20113/1011</t>
  </si>
  <si>
    <t>630494</t>
  </si>
  <si>
    <t>12th Nov 2013</t>
  </si>
  <si>
    <t>V2013/1026</t>
  </si>
  <si>
    <t>630508</t>
  </si>
  <si>
    <t>Four Points by Sheraton Hotel</t>
  </si>
  <si>
    <t>Fly &amp; Cruise Taiwan Agent &amp; Media FAM Trip</t>
  </si>
  <si>
    <t>29/10/2013</t>
  </si>
  <si>
    <t>B2B Session at Four Point Hotel on 07/11/2013</t>
  </si>
  <si>
    <t>(RM30 x 40 pax)</t>
  </si>
  <si>
    <t>18th Nov 2013</t>
  </si>
  <si>
    <t>V2013/1042</t>
  </si>
  <si>
    <t>630519</t>
  </si>
  <si>
    <t>Penang Island Jazz Festival 2013 (05/12 - 8/12/2013)</t>
  </si>
  <si>
    <t>05/11/2013</t>
  </si>
  <si>
    <t>TCC/108/13</t>
  </si>
  <si>
    <t>Being payment for sponsorship of PIJF 2013</t>
  </si>
  <si>
    <t>V2013/1048</t>
  </si>
  <si>
    <t>630525</t>
  </si>
  <si>
    <t>13/11/2013</t>
  </si>
  <si>
    <t>INV 21280</t>
  </si>
  <si>
    <t>(10pcs @ RM4.70)</t>
  </si>
  <si>
    <t>INV 21281</t>
  </si>
  <si>
    <t>Publicity - 10 days 3 festival Advertisement &amp; Promotion</t>
  </si>
  <si>
    <t>Cotton Bag - 300pcs</t>
  </si>
  <si>
    <t>Block Charges</t>
  </si>
  <si>
    <t>Two Thousand Two Hundred and Sixty Seven Only</t>
  </si>
  <si>
    <t>V2013/1050</t>
  </si>
  <si>
    <t>630527</t>
  </si>
  <si>
    <t>The Art Og Siang</t>
  </si>
  <si>
    <t>Tan Hwai Eng</t>
  </si>
  <si>
    <t>Tel : 016-443 2383</t>
  </si>
  <si>
    <t>Last Fri, Sat &amp; Sun for the month - Oct'13</t>
  </si>
  <si>
    <t>10/11/2013</t>
  </si>
  <si>
    <t>INV 1301</t>
  </si>
  <si>
    <t>Performance @ Khoo Kongsi on 26/10/2013</t>
  </si>
  <si>
    <t>(13 dances)</t>
  </si>
  <si>
    <t>V2013/1053</t>
  </si>
  <si>
    <t>630530</t>
  </si>
  <si>
    <t>Westcool Engineering</t>
  </si>
  <si>
    <t>17-G-09, Serina Bay</t>
  </si>
  <si>
    <t>Hilir Sungai Pinang</t>
  </si>
  <si>
    <t>11600 Jelutong</t>
  </si>
  <si>
    <t>Tel : 012-453 2399</t>
  </si>
  <si>
    <t>15/11/2013</t>
  </si>
  <si>
    <t>1167</t>
  </si>
  <si>
    <t>Overhaul service for Aircord @ TIC</t>
  </si>
  <si>
    <t>RM180 x 2 units</t>
  </si>
  <si>
    <t>Ynot Music Studio</t>
  </si>
  <si>
    <t>44, 1st Floor, Farlim Business Centre</t>
  </si>
  <si>
    <t>Medan Angsana 4</t>
  </si>
  <si>
    <t>Tel : 04-828 0129</t>
  </si>
  <si>
    <t>Additional 3 room night (RM250 x 3 = RM750)</t>
  </si>
  <si>
    <t>Three Thousand One Hundred Fifty Nine and Cents Eighty Only</t>
  </si>
  <si>
    <t>Last Fri, Sat and Sun for the month of Nov'13</t>
  </si>
  <si>
    <t>10th Dec 2013</t>
  </si>
  <si>
    <t>V2013/1135</t>
  </si>
  <si>
    <t xml:space="preserve"> - Revised 2</t>
  </si>
  <si>
    <t>Balance of Hotel Accommodation for Writers on :-</t>
  </si>
  <si>
    <t>(25 rooms x 4 nights x RM250nett = RM25,000)</t>
  </si>
  <si>
    <t xml:space="preserve">(-) Deposit paid </t>
  </si>
  <si>
    <t>Thirteen Thousand Three Hundred and Seventy Five Only</t>
  </si>
  <si>
    <t>PTS Travel &amp; Tours Sdn Bhd</t>
  </si>
  <si>
    <t>63A, Changkat Thambi Dollah</t>
  </si>
  <si>
    <t>55100 Pudu, K.Lumpur</t>
  </si>
  <si>
    <t>Tel : 03-2144 4832</t>
  </si>
  <si>
    <t>Fax : 03-2148 4832</t>
  </si>
  <si>
    <t>V2013/1141</t>
  </si>
  <si>
    <t>Yeap Pei Luan</t>
  </si>
  <si>
    <t>USM Jazz Band</t>
  </si>
  <si>
    <t xml:space="preserve">Universiti Sains Malaysia </t>
  </si>
  <si>
    <t>11800 USM</t>
  </si>
  <si>
    <t>28/11/2013</t>
  </si>
  <si>
    <t>Jazz band performance at Botanic Garden on 24/11</t>
  </si>
  <si>
    <t>11th Dec 2013</t>
  </si>
  <si>
    <t>630599</t>
  </si>
  <si>
    <t>630605</t>
  </si>
  <si>
    <t>17th Dec 2013</t>
  </si>
  <si>
    <t>30/11/2013</t>
  </si>
  <si>
    <t>V2013/1153</t>
  </si>
  <si>
    <t>630608</t>
  </si>
  <si>
    <t>Suriana Sdn Bhd</t>
  </si>
  <si>
    <t xml:space="preserve">Hotel Bellevue </t>
  </si>
  <si>
    <t>Penang Hill</t>
  </si>
  <si>
    <t>George Town Literary Festival 2013 - Gift of Rain Trail</t>
  </si>
  <si>
    <t>53050</t>
  </si>
  <si>
    <t xml:space="preserve">Transportation charges of Akido Mats to and from </t>
  </si>
  <si>
    <t>30th Dec 2013</t>
  </si>
  <si>
    <t>V2013/1182</t>
  </si>
  <si>
    <t>630632</t>
  </si>
  <si>
    <t>Christmas Carol Performance on 20/12/2013</t>
  </si>
  <si>
    <t>10/12/2013</t>
  </si>
  <si>
    <t>INV-00001318</t>
  </si>
  <si>
    <t>Plastic Chair</t>
  </si>
  <si>
    <t>Ninety Five Only</t>
  </si>
  <si>
    <t>V2013/1188</t>
  </si>
  <si>
    <t>630634</t>
  </si>
  <si>
    <t>V2013/1190</t>
  </si>
  <si>
    <t>630636</t>
  </si>
  <si>
    <t>Tender Fees for Tourist Information Center</t>
  </si>
  <si>
    <t>(04-263 1166)</t>
  </si>
  <si>
    <t>9th Jan 2014</t>
  </si>
  <si>
    <t>V2014/022</t>
  </si>
  <si>
    <t>686973</t>
  </si>
  <si>
    <t>Overseas Living (MM2H) Sdn Bhd</t>
  </si>
  <si>
    <t>Penthouse, 10th Floor, Wisma Penang Garden</t>
  </si>
  <si>
    <t>42, Jalan Sultan Ahmad Shah</t>
  </si>
  <si>
    <t>Tel : 04-227 3799</t>
  </si>
  <si>
    <t>Fax : 04-227 5799</t>
  </si>
  <si>
    <t>Japan Sales Mission on 19th - 23rd Nov 2013</t>
  </si>
  <si>
    <t>31/12/2013</t>
  </si>
  <si>
    <t>OLSB/05/4167</t>
  </si>
  <si>
    <t>Translation fee</t>
  </si>
  <si>
    <t>26/12/2013</t>
  </si>
  <si>
    <t>V2014/025</t>
  </si>
  <si>
    <t>686976</t>
  </si>
  <si>
    <t>Last Fri, Sat and Sun for the month of Dec'13</t>
  </si>
  <si>
    <t>INV-000001354</t>
  </si>
  <si>
    <t>@ Botanic Garden</t>
  </si>
  <si>
    <t>Four Hundred and Fifty Only</t>
  </si>
  <si>
    <t>15th Jan 2014</t>
  </si>
  <si>
    <t>Palmco Hotels Sdn Bhd</t>
  </si>
  <si>
    <t>Batu Ferringhi Beach</t>
  </si>
  <si>
    <t>Tel : 04-8811 711</t>
  </si>
  <si>
    <t>V2014/042</t>
  </si>
  <si>
    <t>686992</t>
  </si>
  <si>
    <t>Last Fri, Sat &amp; Sun for the month of Dec'13</t>
  </si>
  <si>
    <t>INV 1036</t>
  </si>
  <si>
    <t>Performance of Acrobatic, Contortionist and Culture dance</t>
  </si>
  <si>
    <t>Four Thousand and Nine Hundred Only</t>
  </si>
  <si>
    <t>07/01/2014</t>
  </si>
  <si>
    <t>Three Thousand Seven Hundred Eighty One and Cents Sixty Only</t>
  </si>
  <si>
    <t>V2014/054</t>
  </si>
  <si>
    <t>686997</t>
  </si>
  <si>
    <t>AW-INV/PGT-14-001</t>
  </si>
  <si>
    <t>To supply &amp; install glass door at conference room</t>
  </si>
  <si>
    <t>(102" x 47")</t>
  </si>
  <si>
    <t>22th Jan 2014</t>
  </si>
  <si>
    <t>V2014/061</t>
  </si>
  <si>
    <t>687005</t>
  </si>
  <si>
    <t>23/01/2014</t>
  </si>
  <si>
    <t>Penang Hill Company Hotels &amp; Restaurant Sdn Bhd</t>
  </si>
  <si>
    <t>Lot 400, MK 17. Daerah Barat Daya</t>
  </si>
  <si>
    <t>Strawberry Hill</t>
  </si>
  <si>
    <t>Bukit Bendera, 11300 Air Itam</t>
  </si>
  <si>
    <t>Tel : 04-828 8337</t>
  </si>
  <si>
    <t>Five Hundred Fifty Six and Cents Seventy Eight Only</t>
  </si>
  <si>
    <t>Toh Kim Hock</t>
  </si>
  <si>
    <t>77-R1-16, Birth the Plaza</t>
  </si>
  <si>
    <t>Jalan Datuk Keramat</t>
  </si>
  <si>
    <t>Tel : 012-461 1826</t>
  </si>
  <si>
    <t>29th Jan 2014</t>
  </si>
  <si>
    <t>V2014/102</t>
  </si>
  <si>
    <t>687044</t>
  </si>
  <si>
    <t>Thai Airways International Public Co Ltd</t>
  </si>
  <si>
    <t>Level 3, Burma Place</t>
  </si>
  <si>
    <t>142-L Burma Road</t>
  </si>
  <si>
    <t>Tel : 04-226 8000</t>
  </si>
  <si>
    <t xml:space="preserve">Facebook Photo Contest </t>
  </si>
  <si>
    <t>Being airport taxes and surcharge for lucky winner</t>
  </si>
  <si>
    <t>(Photography Competition in FB)</t>
  </si>
  <si>
    <t xml:space="preserve"> - Mr Jonathan Khoo Woon Hwee</t>
  </si>
  <si>
    <t>Four Hundred and Five Only</t>
  </si>
  <si>
    <t>24th Feb 2014</t>
  </si>
  <si>
    <t>Red Star Production</t>
  </si>
  <si>
    <t>M-9-1, Jalan Helang</t>
  </si>
  <si>
    <t>11700 Gelugor</t>
  </si>
  <si>
    <t>Tel : 017-476 7788</t>
  </si>
  <si>
    <t>V2014/152</t>
  </si>
  <si>
    <t>687085</t>
  </si>
  <si>
    <t>Sum Insured : RM36,000.00</t>
  </si>
  <si>
    <t>(-) Rebate</t>
  </si>
  <si>
    <t>(-) NCB</t>
  </si>
  <si>
    <t>Eight Hundred Eighteen and Cents Fifty Only</t>
  </si>
  <si>
    <t>(Period : 22/03/2013 - 21/03/2014)</t>
  </si>
  <si>
    <t>Rapid Bus Sdn Bhd</t>
  </si>
  <si>
    <t>Lorong Kulit</t>
  </si>
  <si>
    <t>10460 Penang</t>
  </si>
  <si>
    <t>Tel : 04-238 1212</t>
  </si>
  <si>
    <t>Fax : 04-228 1070</t>
  </si>
  <si>
    <t>Sin Hin Banners &amp; Scrolls Services</t>
  </si>
  <si>
    <t>20, Tingkat Bakau</t>
  </si>
  <si>
    <t>Jelutong</t>
  </si>
  <si>
    <t>Tel : 04-261 8081</t>
  </si>
  <si>
    <t>Level 4, Tun Dr Lim Chong Eu Building</t>
  </si>
  <si>
    <t xml:space="preserve">A-2-10 Vantage, </t>
  </si>
  <si>
    <t xml:space="preserve">Jalan Desiran Tanjung, </t>
  </si>
  <si>
    <t>10470 Tanjung Tokong, Penang, Malaysia</t>
  </si>
  <si>
    <t>12th Mar 2014</t>
  </si>
  <si>
    <t>V2014/193</t>
  </si>
  <si>
    <t>687131</t>
  </si>
  <si>
    <t>Penang Yosakoi Parade 2013</t>
  </si>
  <si>
    <t>01/03/2014</t>
  </si>
  <si>
    <t>Designing A&amp;P Materials for Yosakoi</t>
  </si>
  <si>
    <t xml:space="preserve"> - Billboard</t>
  </si>
  <si>
    <t xml:space="preserve"> - Bus Wrap</t>
  </si>
  <si>
    <t xml:space="preserve"> - Poster</t>
  </si>
  <si>
    <t xml:space="preserve"> - Flyers</t>
  </si>
  <si>
    <t xml:space="preserve"> - Japanese Advert</t>
  </si>
  <si>
    <t xml:space="preserve"> - English Advert</t>
  </si>
  <si>
    <t xml:space="preserve"> - Event Map</t>
  </si>
  <si>
    <t xml:space="preserve"> - Photo Session at Penang PAC</t>
  </si>
  <si>
    <t>S.P.T. Pulau Pinang</t>
  </si>
  <si>
    <t>Fax : 04-507 9220</t>
  </si>
  <si>
    <t>Dr Wu Lien Teh Commemorative Symposium in Penang</t>
  </si>
  <si>
    <t>On 8th - 10th March 2014</t>
  </si>
  <si>
    <t>The Phoenix Press Sdn Bhd</t>
  </si>
  <si>
    <t>2509, Jalan Perusahaan Baru</t>
  </si>
  <si>
    <t>Prai Industrial Complex</t>
  </si>
  <si>
    <t>13600 Prai, Penang</t>
  </si>
  <si>
    <t>Tel : 04-390 5042</t>
  </si>
  <si>
    <t>Penelope Yuen Li Jynn</t>
  </si>
  <si>
    <t>14th Mar 2014</t>
  </si>
  <si>
    <t>V2014/220</t>
  </si>
  <si>
    <t>687158</t>
  </si>
  <si>
    <t>Teik Hin Stone Factory</t>
  </si>
  <si>
    <t>NO.9 &amp; 11, Acheen Street</t>
  </si>
  <si>
    <t>Penanng</t>
  </si>
  <si>
    <t>Tel &amp; Fax: 04-261 2239</t>
  </si>
  <si>
    <t>04/03/2014</t>
  </si>
  <si>
    <t>1592</t>
  </si>
  <si>
    <t>16 x 24 Black Galaxy Granite engraving</t>
  </si>
  <si>
    <t>28 x 24 Black Galaxy Granite engraving</t>
  </si>
  <si>
    <t>One Thousand and Three Hundred Only</t>
  </si>
  <si>
    <t>V2014/227</t>
  </si>
  <si>
    <t>17th Mar 2014</t>
  </si>
  <si>
    <t>687165</t>
  </si>
  <si>
    <t>One Time use of Photo - "Birth of a new icon" - Penang</t>
  </si>
  <si>
    <t>2nd Brige</t>
  </si>
  <si>
    <t>Star Publications (Malaysia) Berhad</t>
  </si>
  <si>
    <t>YTL Communications Sdn Bhd</t>
  </si>
  <si>
    <t>Vistana Hotel &amp; Residences Penang</t>
  </si>
  <si>
    <t>Level 1, 213, Jalan Bukit Gambir,</t>
  </si>
  <si>
    <t>Bukit Jambul,</t>
  </si>
  <si>
    <t>11950 Penang, Malaysia</t>
  </si>
  <si>
    <t>Usage for YES 4G Internet Plan</t>
  </si>
  <si>
    <t>Account No. 813783509</t>
  </si>
  <si>
    <t>Account No. 813783531</t>
  </si>
  <si>
    <t>Voucher No.   :</t>
  </si>
  <si>
    <t>Bank                :</t>
  </si>
  <si>
    <t>Date                 :</t>
  </si>
  <si>
    <t>Penang Tourist Guides Association</t>
  </si>
  <si>
    <t>No. 7 Cannon Street</t>
  </si>
  <si>
    <t>Tel : 04-261 4461</t>
  </si>
  <si>
    <t>I/C No.:</t>
  </si>
  <si>
    <t>31/03/2014</t>
  </si>
  <si>
    <t>2st May 2014</t>
  </si>
  <si>
    <t>V2014/331</t>
  </si>
  <si>
    <t>691265</t>
  </si>
  <si>
    <t>Last Fri, Sat and Sun for the month - Mar'13</t>
  </si>
  <si>
    <t>CB 17676</t>
  </si>
  <si>
    <t>Being sound &amp; lighting rental on 30/03/2014</t>
  </si>
  <si>
    <t>Ong Jin Teong</t>
  </si>
  <si>
    <t>11-D, Jalan Jones</t>
  </si>
  <si>
    <t>Winsome Air-Condition Engineering</t>
  </si>
  <si>
    <t>68, Love Lane</t>
  </si>
  <si>
    <t>Tel : 016-441 3343</t>
  </si>
  <si>
    <t xml:space="preserve"> - Meal Allowance</t>
  </si>
  <si>
    <t>12th May 2014</t>
  </si>
  <si>
    <t>V2014/356</t>
  </si>
  <si>
    <t>691288</t>
  </si>
  <si>
    <t xml:space="preserve">Marking G'Town Brochure </t>
  </si>
  <si>
    <t>06/05/2014</t>
  </si>
  <si>
    <t>INV 1403</t>
  </si>
  <si>
    <t>Final Artwork for Marking G'Town in Malay &amp; English</t>
  </si>
  <si>
    <t>Version</t>
  </si>
  <si>
    <t>Scripps Networks Interactive</t>
  </si>
  <si>
    <t>3, Fusionpolis Way</t>
  </si>
  <si>
    <t>#12-21, Symbiosis</t>
  </si>
  <si>
    <t>138633 Singapore</t>
  </si>
  <si>
    <t>Advertisement - TVC</t>
  </si>
  <si>
    <t>Pacific Asia Travel Association (PATA)</t>
  </si>
  <si>
    <t>22nd May 2014</t>
  </si>
  <si>
    <t>V2014/366</t>
  </si>
  <si>
    <t>Club No: 675</t>
  </si>
  <si>
    <t>c/o Cititel Penang</t>
  </si>
  <si>
    <t>66, Penang Road 10000 Penang Malaysia</t>
  </si>
  <si>
    <t>Skål International Penang</t>
  </si>
  <si>
    <t>Sponsorship / Contribution</t>
  </si>
  <si>
    <t xml:space="preserve">Contribution for Skal International Penang </t>
  </si>
  <si>
    <t>(43rd Asian Area Congress in Bali)</t>
  </si>
  <si>
    <t>30th May 2014</t>
  </si>
  <si>
    <t>20.05.2014</t>
  </si>
  <si>
    <t>19.05.2014</t>
  </si>
  <si>
    <t>V2014/390</t>
  </si>
  <si>
    <t>691321</t>
  </si>
  <si>
    <t>George Town Festial Conference &amp; Dialogue with Malaysia</t>
  </si>
  <si>
    <t>Inbound Tourism Association @ KL on 28/4/2014</t>
  </si>
  <si>
    <t>PDC/PGT/BAH5/177</t>
  </si>
  <si>
    <t xml:space="preserve"> - Air Ticket (PEN-SZB-PEN)</t>
  </si>
  <si>
    <t>MyCEB Korea Roadshow on 20/04-25/04/2014</t>
  </si>
  <si>
    <t>PDC/PGT/BAH6/113rev1</t>
  </si>
  <si>
    <t xml:space="preserve"> - Tip &amp; Poterege </t>
  </si>
  <si>
    <t>Publicitas International Sdn Bhd</t>
  </si>
  <si>
    <t>S105, 2nd Floor, Centrepoint</t>
  </si>
  <si>
    <t>Lebuh Bandar Utama, Bandar Utama</t>
  </si>
  <si>
    <t>47800 Petaling Jaya</t>
  </si>
  <si>
    <t>Tel : 03-7729 6923</t>
  </si>
  <si>
    <t>PIHH Development Sdn Bhd</t>
  </si>
  <si>
    <t>Level 44, Komtar</t>
  </si>
  <si>
    <t xml:space="preserve">10503 Penang </t>
  </si>
  <si>
    <t>Tel : 04-262 5444</t>
  </si>
  <si>
    <t>Fax : 04-263 5444</t>
  </si>
  <si>
    <t>V2014/400</t>
  </si>
  <si>
    <t>691331</t>
  </si>
  <si>
    <t xml:space="preserve">Today Lifestyle Marketing </t>
  </si>
  <si>
    <t>41-4-3, 4th Floor, Wisma Prudential</t>
  </si>
  <si>
    <t>Jalan Cantonment</t>
  </si>
  <si>
    <t>Tel : 04-226 6932</t>
  </si>
  <si>
    <t>Cost of goods sold - Nov'13</t>
  </si>
  <si>
    <t>29/11/2013</t>
  </si>
  <si>
    <t>13-0332</t>
  </si>
  <si>
    <t>Occupy Beach Street T-Shirt RM8 x 2 pcs</t>
  </si>
  <si>
    <t>Cost of goods sold - Dec'13</t>
  </si>
  <si>
    <t>29/12/2013</t>
  </si>
  <si>
    <t>13-0342</t>
  </si>
  <si>
    <t>Occupy Beach Street T-Shirt RM8 x 1 pc</t>
  </si>
  <si>
    <t>period from 26 May 2014- 17th August 2014</t>
  </si>
  <si>
    <t>Memo dated 30.04.2014</t>
  </si>
  <si>
    <t>Shyamala D/O Egambaram</t>
  </si>
  <si>
    <t>Segi College Penang</t>
  </si>
  <si>
    <t>Narwinjit Kaur A/P Sukhdev Singh</t>
  </si>
  <si>
    <t>691345</t>
  </si>
  <si>
    <t>Skal Club of Penang</t>
  </si>
  <si>
    <t>(Cheque re-issue due to wrong payable)</t>
  </si>
  <si>
    <t>17th June 2014</t>
  </si>
  <si>
    <t>Name Card Printing</t>
  </si>
  <si>
    <t>V2014/445</t>
  </si>
  <si>
    <t>691378</t>
  </si>
  <si>
    <t>Bruce Scott Journalist Media FAM on 6/6/2014</t>
  </si>
  <si>
    <t>10/06/2014</t>
  </si>
  <si>
    <t>TCLI14007</t>
  </si>
  <si>
    <t>Full day tour for Mr Bruce Scott on 06/06/2014</t>
  </si>
  <si>
    <t>Limousine usage for full day</t>
  </si>
  <si>
    <t>Labour charge for dismantle existing asticker &amp; cleaning</t>
  </si>
  <si>
    <t>20th June 2014</t>
  </si>
  <si>
    <t>Penang Centre of Education Tourism (PCET Forum)</t>
  </si>
  <si>
    <t>on 5th June 2014</t>
  </si>
  <si>
    <t>Memo</t>
  </si>
  <si>
    <t>V2014/477</t>
  </si>
  <si>
    <t>691409</t>
  </si>
  <si>
    <t>Yap Sau Moi</t>
  </si>
  <si>
    <t>INTI College Penang</t>
  </si>
  <si>
    <t>Air fare for Ms Pauline Tang</t>
  </si>
  <si>
    <t>(Brisbane-KL-Pen-Brisbane)</t>
  </si>
  <si>
    <t>Dinner @ Golden Triangle for 16 pax on 05/06/2014</t>
  </si>
  <si>
    <t>Printing of PCET booklet - 100units</t>
  </si>
  <si>
    <t>30th June 2014</t>
  </si>
  <si>
    <t>Teoh Huey Wen</t>
  </si>
  <si>
    <t>Tel : 012-563 4380</t>
  </si>
  <si>
    <t>V2014/506</t>
  </si>
  <si>
    <t>1st July 2014</t>
  </si>
  <si>
    <t>691434</t>
  </si>
  <si>
    <t>Tan Cheng Sim</t>
  </si>
  <si>
    <t>I/C : 870614-49-5140</t>
  </si>
  <si>
    <t>Communications Executives</t>
  </si>
  <si>
    <t>Salary for June' 14</t>
  </si>
  <si>
    <t>(-) Deduction for EPF</t>
  </si>
  <si>
    <t>(-) Deduction for Socso</t>
  </si>
  <si>
    <t>(Salary re-issue due to wrong account number given)</t>
  </si>
  <si>
    <t>V2014/501</t>
  </si>
  <si>
    <t>Traders Hotel Hong Kong</t>
  </si>
  <si>
    <t>508, Queen's Road West</t>
  </si>
  <si>
    <t>Western District</t>
  </si>
  <si>
    <t>Hong Kong</t>
  </si>
  <si>
    <t>Launching of Hong Kong Media Campaign</t>
  </si>
  <si>
    <t>Proforma Inv dated 25/06/2014</t>
  </si>
  <si>
    <t>Catering service HKD105 x 80 pax on 2/07/2014</t>
  </si>
  <si>
    <t>(HKD8,400 @ 42.58)</t>
  </si>
  <si>
    <t>Bank charges</t>
  </si>
  <si>
    <t>Unity Media Pte Ltd</t>
  </si>
  <si>
    <t>Ooi Chok Yan</t>
  </si>
  <si>
    <t>Statement of claims</t>
  </si>
  <si>
    <t>21st July 2014</t>
  </si>
  <si>
    <t>V2014/558</t>
  </si>
  <si>
    <t>687235</t>
  </si>
  <si>
    <t xml:space="preserve">Statement of claims </t>
  </si>
  <si>
    <t>dated 11.7.2014</t>
  </si>
  <si>
    <t>Cooler Lumpur Literary Festival on 19-22/6/2014</t>
  </si>
  <si>
    <t xml:space="preserve"> - Workshop fees</t>
  </si>
  <si>
    <t>Soo Hoo Li Na</t>
  </si>
  <si>
    <t>Universiti Malaysia Sabah</t>
  </si>
  <si>
    <t>period from 1 July 2014- 20th September 2014</t>
  </si>
  <si>
    <t>Memo dated 22.05.2014</t>
  </si>
  <si>
    <t>I/C : 910225-07-5242</t>
  </si>
  <si>
    <t>Hong Kong Media Campaign</t>
  </si>
  <si>
    <t xml:space="preserve"> - Production cost</t>
  </si>
  <si>
    <t>Discovery Balik Pulau Map</t>
  </si>
  <si>
    <t>12th Aug 2014</t>
  </si>
  <si>
    <t>Rainbowfield Trading</t>
  </si>
  <si>
    <t>288A-05-01, Fortune Court</t>
  </si>
  <si>
    <t>Jalan Thean Teik</t>
  </si>
  <si>
    <t>Bandar Baru Air Itam</t>
  </si>
  <si>
    <t>Tel : 012-472 7916</t>
  </si>
  <si>
    <t>4/8/2014</t>
  </si>
  <si>
    <t>Air Asia X Shanghai Media FAM Trip on 23/7-26/7/2014</t>
  </si>
  <si>
    <t>V2014/627</t>
  </si>
  <si>
    <t>687300</t>
  </si>
  <si>
    <t>dated 06.08.2014</t>
  </si>
  <si>
    <t>PDC/PGT/BAH5/201</t>
  </si>
  <si>
    <t xml:space="preserve"> - Meals on 23/7/2014</t>
  </si>
  <si>
    <t xml:space="preserve"> - Meals on 24/7/2014</t>
  </si>
  <si>
    <t xml:space="preserve"> - Meals on 25/7/2014</t>
  </si>
  <si>
    <t>V2014/629</t>
  </si>
  <si>
    <t>687304</t>
  </si>
  <si>
    <t>17th Aug 2014</t>
  </si>
  <si>
    <t xml:space="preserve"> - 1st Aug - 17th Aug 2014</t>
  </si>
  <si>
    <t>V2014/630</t>
  </si>
  <si>
    <t>20th Aug 2014</t>
  </si>
  <si>
    <t>V2014/641</t>
  </si>
  <si>
    <t>687314</t>
  </si>
  <si>
    <t>FIVE27</t>
  </si>
  <si>
    <t>Stellar Forward Sdn Bhd</t>
  </si>
  <si>
    <t>355, 357 &amp; 359 Chulia Street</t>
  </si>
  <si>
    <t>Tel : 04-261 3809</t>
  </si>
  <si>
    <t>PGT Website Launching on 8/8/2014</t>
  </si>
  <si>
    <t>11/8/2014</t>
  </si>
  <si>
    <t xml:space="preserve">Canape for 100 pax </t>
  </si>
  <si>
    <t>Beverages</t>
  </si>
  <si>
    <t>PA System</t>
  </si>
  <si>
    <t>29th Aug 2014</t>
  </si>
  <si>
    <t>Says Youth Society</t>
  </si>
  <si>
    <t>25A, Jalan SS4D/2, People's Park</t>
  </si>
  <si>
    <t>Sponsorship for event</t>
  </si>
  <si>
    <t xml:space="preserve">OBS TV Programme </t>
  </si>
  <si>
    <t>V2014/676</t>
  </si>
  <si>
    <t>OBS Gyeongin TV</t>
  </si>
  <si>
    <t>202-7, Ojeong-dong, Ojeong-gu</t>
  </si>
  <si>
    <t>Bucheon City</t>
  </si>
  <si>
    <t>Gyeonggi-do, Korea</t>
  </si>
  <si>
    <t>Program Production cost for 6 series</t>
  </si>
  <si>
    <t>(USD23,982 @ 3.1775)</t>
  </si>
  <si>
    <t>BizChannel EFT Ref</t>
  </si>
  <si>
    <t>General Manager</t>
  </si>
  <si>
    <t>22th Sept 2014</t>
  </si>
  <si>
    <t>V2014/699</t>
  </si>
  <si>
    <t>29.08.2014</t>
  </si>
  <si>
    <t>K.Lumpur Trip on 19th - 20th Aug 2014</t>
  </si>
  <si>
    <t>The Nomad Hotel Penang Sdn Bhd</t>
  </si>
  <si>
    <t>101, Macalister Road</t>
  </si>
  <si>
    <t>10400 George Town</t>
  </si>
  <si>
    <t>V2014/680</t>
  </si>
  <si>
    <t>9th Sept 2014</t>
  </si>
  <si>
    <t>New World Makati Hotel</t>
  </si>
  <si>
    <t>New World International Development Phils, Inc</t>
  </si>
  <si>
    <t>Esperanza Street Corner Makati Avenue</t>
  </si>
  <si>
    <t>Ayala Center, Makati City</t>
  </si>
  <si>
    <t>1228 Philippines</t>
  </si>
  <si>
    <t>Manila Travel Agents Networking Session</t>
  </si>
  <si>
    <t>on 8th - 12th Sept 2014</t>
  </si>
  <si>
    <t>Pro-forma invoice dated 2.9.14</t>
  </si>
  <si>
    <t>Meeting Package on 10/9/2014</t>
  </si>
  <si>
    <t>10% of service charge</t>
  </si>
  <si>
    <t>12% of VAT</t>
  </si>
  <si>
    <t>0.8% of Local Tax</t>
  </si>
  <si>
    <t>29th Sept 2014</t>
  </si>
  <si>
    <t>Skyzone Tours &amp; Travel Sdn Bhd</t>
  </si>
  <si>
    <t>Lot 7.71, 7th Floor, Berjaya Time Square</t>
  </si>
  <si>
    <t>No.1, Jalan Imbi</t>
  </si>
  <si>
    <t>55100 Kuala Lumpur</t>
  </si>
  <si>
    <t>Tel : 03-2118 7888</t>
  </si>
  <si>
    <t>Manila Travel Agent Networking Session in Philippines</t>
  </si>
  <si>
    <t>04/09/2014</t>
  </si>
  <si>
    <t>0F033753</t>
  </si>
  <si>
    <t>Hotel Accommodation - Ooi Geok Ling &amp; Yoon Pauline</t>
  </si>
  <si>
    <t>(RM495 x 4 nights x 2 pax)</t>
  </si>
  <si>
    <t>Transportation for 2 days</t>
  </si>
  <si>
    <t>Airport transfer</t>
  </si>
  <si>
    <t>V2014/738</t>
  </si>
  <si>
    <t xml:space="preserve"> - 1st Sept - 20th Sept</t>
  </si>
  <si>
    <t>V2014/740</t>
  </si>
  <si>
    <t>SMK (P) St. George</t>
  </si>
  <si>
    <t>Last FriSatSun for the month of Aug'14</t>
  </si>
  <si>
    <t>SGGS/Band/2014(10)</t>
  </si>
  <si>
    <t>Performance at Botanical Garden on 31/08/2014</t>
  </si>
  <si>
    <t>V2014/741</t>
  </si>
  <si>
    <t>03/09/2014</t>
  </si>
  <si>
    <t>T 14009</t>
  </si>
  <si>
    <t>Chinese translation of new texts for "Marking G'Town"</t>
  </si>
  <si>
    <t>Map</t>
  </si>
  <si>
    <t>V2014/746</t>
  </si>
  <si>
    <t>687366</t>
  </si>
  <si>
    <t>PGTEFT0040</t>
  </si>
  <si>
    <t>687367</t>
  </si>
  <si>
    <t>PGTEFT0046</t>
  </si>
  <si>
    <t xml:space="preserve"> - Meal Allowance </t>
  </si>
  <si>
    <t>Chief Executive Officer</t>
  </si>
  <si>
    <t>14th Oct 2014</t>
  </si>
  <si>
    <t>V2014/772</t>
  </si>
  <si>
    <t>687377</t>
  </si>
  <si>
    <t>QE2-The Venue Sdn Bhd</t>
  </si>
  <si>
    <t>Tanjong City Marina, Church St Pier</t>
  </si>
  <si>
    <t>8A, Pengkalan Weld</t>
  </si>
  <si>
    <t>George Town</t>
  </si>
  <si>
    <t>PGT's Annual Dinner on 23/9/2014</t>
  </si>
  <si>
    <t>30/9/2014</t>
  </si>
  <si>
    <t>0018</t>
  </si>
  <si>
    <t>Set dinner for 29 pax RM200 x 29</t>
  </si>
  <si>
    <t>V2014/777</t>
  </si>
  <si>
    <t>PGTEFT0065</t>
  </si>
  <si>
    <t>Sunshine Surge Travel &amp; Tours Sdn Bhd</t>
  </si>
  <si>
    <t>48, Ground Floor</t>
  </si>
  <si>
    <t>Jalan Rangoon</t>
  </si>
  <si>
    <t>Signing of MOU - Friendship City Between Penang &amp; Phuket</t>
  </si>
  <si>
    <t>on 17-19th Sept 2014</t>
  </si>
  <si>
    <t>15/9/2014</t>
  </si>
  <si>
    <t>INV 13373</t>
  </si>
  <si>
    <t>Air Ticket - Ooi Chok Yan</t>
  </si>
  <si>
    <t>PEN - HKT - PEN</t>
  </si>
  <si>
    <t>Hotel Accommodation x 2 nights</t>
  </si>
  <si>
    <t>10/10/2014</t>
  </si>
  <si>
    <t>687380</t>
  </si>
  <si>
    <t>V2014/785</t>
  </si>
  <si>
    <t>PIBG Sek Tuanku Abd Rahman</t>
  </si>
  <si>
    <t>Sekolah Tuanku Abdul Rahman</t>
  </si>
  <si>
    <t>Jalan Sultan Azlan Shah</t>
  </si>
  <si>
    <t>31400 Ipoh</t>
  </si>
  <si>
    <t>Tel : 05-545 7733</t>
  </si>
  <si>
    <t>Last Fri, Sat and Sun for the month of Sept'14</t>
  </si>
  <si>
    <t>STAR/26/01Jld2(38)</t>
  </si>
  <si>
    <t>Performance - Music in the garden on 28/9/2014</t>
  </si>
  <si>
    <t>10 Days 3 Festival A&amp;P</t>
  </si>
  <si>
    <t>9/10/2014</t>
  </si>
  <si>
    <t>Proforma 10046</t>
  </si>
  <si>
    <t>Advertisement in The Edge on 3/11 &amp; 17/11/2014</t>
  </si>
  <si>
    <t>Add 6% GST</t>
  </si>
  <si>
    <t>7/10/2014</t>
  </si>
  <si>
    <t>Billing Period : 07/9/2014-06/10/2014</t>
  </si>
  <si>
    <t>PGTEFT0074</t>
  </si>
  <si>
    <t>V2014/788</t>
  </si>
  <si>
    <t>B1-51962822</t>
  </si>
  <si>
    <t>I/C : 760118-07-5799</t>
  </si>
  <si>
    <t>Surayah Abdul Aziz</t>
  </si>
  <si>
    <t>I/C : 711229-04-5372</t>
  </si>
  <si>
    <t>Rising One Media Sdn Bhd</t>
  </si>
  <si>
    <t>501-4-1, Wisma Thong Sin</t>
  </si>
  <si>
    <t>Jalan Tanjung Bungah</t>
  </si>
  <si>
    <t>Tel : 04-890 5212</t>
  </si>
  <si>
    <t>20/10/2014</t>
  </si>
  <si>
    <t>28th Oct 2014</t>
  </si>
  <si>
    <t>V2014/836</t>
  </si>
  <si>
    <t>PGTEFT0109</t>
  </si>
  <si>
    <t>Consigment Sales - Aug'14</t>
  </si>
  <si>
    <t>12/8/2014</t>
  </si>
  <si>
    <t>47510110</t>
  </si>
  <si>
    <t>Pendant (13604122009) - Pg Bridge Charm</t>
  </si>
  <si>
    <t>47510117</t>
  </si>
  <si>
    <t>Pendant (13603667213) - Trishaw Charm</t>
  </si>
  <si>
    <t>V2014/837</t>
  </si>
  <si>
    <t>687399</t>
  </si>
  <si>
    <t>1054</t>
  </si>
  <si>
    <t>on island and mainland for the month of Oct 2014</t>
  </si>
  <si>
    <t>V2014/843</t>
  </si>
  <si>
    <t>PGTEFT0115</t>
  </si>
  <si>
    <t>TWJ Cahaya Matahari Enterprise</t>
  </si>
  <si>
    <t>No.6 Jalan Perusahaan Jelutong Satu</t>
  </si>
  <si>
    <t>Tel : 04-282 5381</t>
  </si>
  <si>
    <t>Upkeep of M/Vehicle</t>
  </si>
  <si>
    <t>0224</t>
  </si>
  <si>
    <t xml:space="preserve">Spraying of rear right bumper, front bumper, fender </t>
  </si>
  <si>
    <t xml:space="preserve">&amp; knocking </t>
  </si>
  <si>
    <t>29th Oct 2014</t>
  </si>
  <si>
    <t>OOHM International Holdings Sdn Bhd</t>
  </si>
  <si>
    <t>Unit No. B-11-5, 11th Floor, Block B</t>
  </si>
  <si>
    <t>Northpoint Offices, Mid Valley City</t>
  </si>
  <si>
    <t>No.1 Medan Syed Putra Utara</t>
  </si>
  <si>
    <t>59200 Kuala Lumpur</t>
  </si>
  <si>
    <t>V2014/846</t>
  </si>
  <si>
    <t>Tripadvisor Singapore Pte Ltd</t>
  </si>
  <si>
    <t>8, Cross Street</t>
  </si>
  <si>
    <t>#26-01/07 PWC Building</t>
  </si>
  <si>
    <t>Singapore 048424</t>
  </si>
  <si>
    <t>Ads- Social Media</t>
  </si>
  <si>
    <t>1/9/2014</t>
  </si>
  <si>
    <t>INV1066655</t>
  </si>
  <si>
    <t xml:space="preserve">Digital advertising on Tripadvisor </t>
  </si>
  <si>
    <t>17th Nov 2014</t>
  </si>
  <si>
    <t>V2014/881</t>
  </si>
  <si>
    <t>PGTEFT0136</t>
  </si>
  <si>
    <t>03.11.2014</t>
  </si>
  <si>
    <t>World Music Expo on 21-26 Oct 2014</t>
  </si>
  <si>
    <t>31/10/2014</t>
  </si>
  <si>
    <t>V2014/895</t>
  </si>
  <si>
    <t>PGTEFT0148</t>
  </si>
  <si>
    <t>Worldspan Travel (M) Sdn Bhd</t>
  </si>
  <si>
    <t>6 Ground Floor</t>
  </si>
  <si>
    <t>Jalan Sri Hartamas 8</t>
  </si>
  <si>
    <t>Taman Sri Hartamas</t>
  </si>
  <si>
    <t>50480 KL</t>
  </si>
  <si>
    <t>INV-57498</t>
  </si>
  <si>
    <t xml:space="preserve">Air Ticket - Ong Abbey </t>
  </si>
  <si>
    <t>KUL-IST-SCQ</t>
  </si>
  <si>
    <t>PEN-KUL-PEN</t>
  </si>
  <si>
    <t>Travel Insurance</t>
  </si>
  <si>
    <t>World Music Expo 2014 on 21-26/10/2014</t>
  </si>
  <si>
    <t>7/11/2014</t>
  </si>
  <si>
    <t>V2014/860</t>
  </si>
  <si>
    <t>3th Nov 2014</t>
  </si>
  <si>
    <t>Prepared By :</t>
  </si>
  <si>
    <t>V2014/861</t>
  </si>
  <si>
    <t>Yahoo! Digital Marketing Limited</t>
  </si>
  <si>
    <t>15F, No 66, Sanchong Road</t>
  </si>
  <si>
    <t>Nangang Dist Taipei City</t>
  </si>
  <si>
    <t>Taiwan</t>
  </si>
  <si>
    <t>Advertisement - Social Media</t>
  </si>
  <si>
    <t>24/10/2014</t>
  </si>
  <si>
    <t>Yahoo Online Media Campaign for 2 months</t>
  </si>
  <si>
    <t>(USD9,002.25 @ 3.3325)</t>
  </si>
  <si>
    <t>AFC207-2014</t>
  </si>
  <si>
    <t xml:space="preserve">Advertisement package final Installment - 50% </t>
  </si>
  <si>
    <t>(USD90,000 @ 3.3675)</t>
  </si>
  <si>
    <t>24th Nov 2014</t>
  </si>
  <si>
    <t>V2014/914</t>
  </si>
  <si>
    <t>PGTEFT0167</t>
  </si>
  <si>
    <t>The Esplanade Park Sdn Bhd</t>
  </si>
  <si>
    <t>Fort Cornwallis</t>
  </si>
  <si>
    <t>Welcoming Reception - Food Fiesta</t>
  </si>
  <si>
    <t>INV2014/0001/ED</t>
  </si>
  <si>
    <t>Entrance fees in bulk for 2 days on 13 &amp; 14/11/2014</t>
  </si>
  <si>
    <t>V2014/915</t>
  </si>
  <si>
    <t>PGTEFT0168</t>
  </si>
  <si>
    <t>Vividsgn Enterprise</t>
  </si>
  <si>
    <t>14/11/2014</t>
  </si>
  <si>
    <t>PGTCW01-1114-01</t>
  </si>
  <si>
    <t>Translation of English to BM for My Penang Website</t>
  </si>
  <si>
    <t>(Period : 20/11-20/1/2015)</t>
  </si>
  <si>
    <t xml:space="preserve"> - 10 x feature stories</t>
  </si>
  <si>
    <t xml:space="preserve"> - Discover | Indulge | Explore </t>
  </si>
  <si>
    <t>Siti Nora Afizah Bt Mohamad</t>
  </si>
  <si>
    <t>I/C : 941014-10-5204</t>
  </si>
  <si>
    <t>Visitor Sevice</t>
  </si>
  <si>
    <t xml:space="preserve">for the month of October 2014 </t>
  </si>
  <si>
    <t>RM5 x 19 days (Refer to attachment)</t>
  </si>
  <si>
    <t>Being meal allowance for TIC Counter @ Airport</t>
  </si>
  <si>
    <t>Penang Centre of Education Tourism</t>
  </si>
  <si>
    <t>31st Dec 2014</t>
  </si>
  <si>
    <t>V2014/1047</t>
  </si>
  <si>
    <t>PGTEFT0278</t>
  </si>
  <si>
    <t xml:space="preserve">Welcoming Reception </t>
  </si>
  <si>
    <t>Being payment of catering on 13&amp;14/11/14</t>
  </si>
  <si>
    <t>Yeap Hoo Yong</t>
  </si>
  <si>
    <t>I/C : 820901-07-5784</t>
  </si>
  <si>
    <t>9th Jan 2015</t>
  </si>
  <si>
    <t>V2015/005</t>
  </si>
  <si>
    <t>PGTEFT0280</t>
  </si>
  <si>
    <t>Last Fri, Sat and Sun for the month Dec'14</t>
  </si>
  <si>
    <t>on 28/12/2014</t>
  </si>
  <si>
    <t>Letter dated 30.12.2014</t>
  </si>
  <si>
    <t>Welcoming Reception/Performance</t>
  </si>
  <si>
    <t xml:space="preserve">Sitar &amp; Tablar performance at ICT Pragin Mall on </t>
  </si>
  <si>
    <t>24/12/2014</t>
  </si>
  <si>
    <t>16th Jan 2015</t>
  </si>
  <si>
    <t>V2015/024</t>
  </si>
  <si>
    <t>PGTEFT0294</t>
  </si>
  <si>
    <t>Tactical Campaign - Australia</t>
  </si>
  <si>
    <t>Tel : 04-828 8880</t>
  </si>
  <si>
    <t>10/12/2014</t>
  </si>
  <si>
    <t>Inv 1847</t>
  </si>
  <si>
    <t>Rental of LED screen for New Year's Eve coutndown</t>
  </si>
  <si>
    <t>on 31/12/2014</t>
  </si>
  <si>
    <t>Shum Jian-Howe</t>
  </si>
  <si>
    <t>Translation/Copywriting</t>
  </si>
  <si>
    <t>Copywriting/Translation</t>
  </si>
  <si>
    <t>Advertisement - Magazine</t>
  </si>
  <si>
    <t>11th Feb 2015</t>
  </si>
  <si>
    <t>V2015/101</t>
  </si>
  <si>
    <t>PGTEFT0357</t>
  </si>
  <si>
    <t>Ong Reno &amp; Build</t>
  </si>
  <si>
    <t>No.5, Lorong Delima 1</t>
  </si>
  <si>
    <t>Green Lane</t>
  </si>
  <si>
    <t>Tel : 016-405 4168</t>
  </si>
  <si>
    <t>Upgrading of Air-Cond in PGT &amp; TIC</t>
  </si>
  <si>
    <t>28/1/2015</t>
  </si>
  <si>
    <t>2015/01/001</t>
  </si>
  <si>
    <t xml:space="preserve">Air Cond Fittings to box up air compressor @ TIC </t>
  </si>
  <si>
    <t>28/1/205</t>
  </si>
  <si>
    <t>2015/01/002</t>
  </si>
  <si>
    <t xml:space="preserve">Additional 2 unit percast manhole </t>
  </si>
  <si>
    <t xml:space="preserve">Additional L bracket </t>
  </si>
  <si>
    <t>26/1/2015</t>
  </si>
  <si>
    <t>V2015/107</t>
  </si>
  <si>
    <t>PGTEFT0363</t>
  </si>
  <si>
    <t>Labour Charges to set up tables &amp; chairs</t>
  </si>
  <si>
    <t>V2015/109</t>
  </si>
  <si>
    <t>T.K.C Regrigeration System Engineering</t>
  </si>
  <si>
    <t>No.13 Church Street</t>
  </si>
  <si>
    <t>10200 G'Town</t>
  </si>
  <si>
    <t>Tel : 04-264 5232</t>
  </si>
  <si>
    <t>Upgrading of Air-Cond in TIC &amp; PGT</t>
  </si>
  <si>
    <t>27/1/2015</t>
  </si>
  <si>
    <t>3618/1/2015</t>
  </si>
  <si>
    <t>with full installation @ TIC</t>
  </si>
  <si>
    <t>To supply 2 sets of new Acson 2.5HP ceiling cassette</t>
  </si>
  <si>
    <t>To supply 1 set of 5 HP ceiling expose split air cond</t>
  </si>
  <si>
    <t>with full installation @ Conference room</t>
  </si>
  <si>
    <t>687450</t>
  </si>
  <si>
    <t>V2015/119</t>
  </si>
  <si>
    <t>PGTEFT0372</t>
  </si>
  <si>
    <t>World of Fairway Sdn Bhd</t>
  </si>
  <si>
    <t>Kelawei Road</t>
  </si>
  <si>
    <t>PR10060</t>
  </si>
  <si>
    <t>Acupncture Conference Pg 2-7th Feb 2015</t>
  </si>
  <si>
    <t>Dinner hosting on 2/2/2015 for 33 pax</t>
  </si>
  <si>
    <t>SOZO Pte Ltd</t>
  </si>
  <si>
    <t xml:space="preserve">4 Leng Kee Road </t>
  </si>
  <si>
    <t xml:space="preserve">#05-11A SIS Building </t>
  </si>
  <si>
    <t>Singapore 159088</t>
  </si>
  <si>
    <t>Tel : 6471 4011</t>
  </si>
  <si>
    <t>13th Feb 2014</t>
  </si>
  <si>
    <t>V2015/135</t>
  </si>
  <si>
    <t>PGTEFT0387</t>
  </si>
  <si>
    <t>28/12/2014</t>
  </si>
  <si>
    <t>000004</t>
  </si>
  <si>
    <t>Guide fee for Madagascan Delegation on 13/12/2014</t>
  </si>
  <si>
    <t>Hot Air Balloon Fiesta</t>
  </si>
  <si>
    <t>Toi Toi Services Sdn Bhd</t>
  </si>
  <si>
    <t>Lot P.T No.14 Jalan Simpang Balak</t>
  </si>
  <si>
    <t>Balakong Mukim of Kajang</t>
  </si>
  <si>
    <t>District of Hulu Langat</t>
  </si>
  <si>
    <t>43000 Selangor Darul Ehsan</t>
  </si>
  <si>
    <t xml:space="preserve">Hot Air Balloon Fiesta </t>
  </si>
  <si>
    <t>Trustees of Leong San Tong Khoo Kongsi (Penang) Registered</t>
  </si>
  <si>
    <t>St John Ambulans Malaysia</t>
  </si>
  <si>
    <t>Wisma St John Ambulans</t>
  </si>
  <si>
    <t>24-A, Jalan Grove</t>
  </si>
  <si>
    <t>Tel : 04-828 5972</t>
  </si>
  <si>
    <t>16th Mar 2015</t>
  </si>
  <si>
    <t>(Black)</t>
  </si>
  <si>
    <t>(Red)</t>
  </si>
  <si>
    <t>Synchrosound Studio SdnBhd</t>
  </si>
  <si>
    <t>Sri Pentas, No.3 Persiaran Bandar Utama</t>
  </si>
  <si>
    <t xml:space="preserve">Bandar Utama </t>
  </si>
  <si>
    <t>Selangor Darul Ehsan</t>
  </si>
  <si>
    <t>V2015/191</t>
  </si>
  <si>
    <t>687469</t>
  </si>
  <si>
    <t>Real Films Sdn Bhd</t>
  </si>
  <si>
    <t xml:space="preserve">State Sponsorship " Hai Ki Xin Lor" </t>
  </si>
  <si>
    <t>Being sponsorship for Hai Ki Xin Lor by State Gov</t>
  </si>
  <si>
    <t>V2015/207</t>
  </si>
  <si>
    <t>PGTEFT0434</t>
  </si>
  <si>
    <t>P&amp;G Movers Sdn Bhd</t>
  </si>
  <si>
    <t xml:space="preserve">310, Jalan Jelutong </t>
  </si>
  <si>
    <t>Tel : 2810424</t>
  </si>
  <si>
    <t>17/2/2015</t>
  </si>
  <si>
    <t>INV 22007</t>
  </si>
  <si>
    <t>To supply 1 unit 3 tons forklift on 15/2/2015</t>
  </si>
  <si>
    <t>24/2/2015</t>
  </si>
  <si>
    <t>INV 22021</t>
  </si>
  <si>
    <t>To supply 1 unit 3 tons forklift on 22/2/2015</t>
  </si>
  <si>
    <t>23/2/2015</t>
  </si>
  <si>
    <t>V2015/209</t>
  </si>
  <si>
    <t>PGTEFT0435</t>
  </si>
  <si>
    <t>Roda Nusantara Enterprise</t>
  </si>
  <si>
    <t>11A, Jalan Pantai Jerejak 10</t>
  </si>
  <si>
    <t>11900 Sg Nibong</t>
  </si>
  <si>
    <t>4019</t>
  </si>
  <si>
    <t>Rental of 2 tonner truck for 3 days</t>
  </si>
  <si>
    <t>RM300 x 3 days x 2 units</t>
  </si>
  <si>
    <t>4/3/2015</t>
  </si>
  <si>
    <t>17th Mar 2015</t>
  </si>
  <si>
    <t xml:space="preserve">Date                : </t>
  </si>
  <si>
    <t>V2015/234</t>
  </si>
  <si>
    <t>687478</t>
  </si>
  <si>
    <t>PenExpo Events Sdn Bhd</t>
  </si>
  <si>
    <t>NO.2618,  2nd Floor, Jalan Maju</t>
  </si>
  <si>
    <t>Pusat Perniagaan Maju Jaya</t>
  </si>
  <si>
    <t>Bukit Mertajam</t>
  </si>
  <si>
    <t>14000 Penang</t>
  </si>
  <si>
    <t xml:space="preserve">Penang Centre of Education Tourism </t>
  </si>
  <si>
    <t>GLI-0017</t>
  </si>
  <si>
    <t xml:space="preserve"> @ Alor Star</t>
  </si>
  <si>
    <t>Event Management Services for Penang Education Fair</t>
  </si>
  <si>
    <t>Texline Lino Sdn Bhd</t>
  </si>
  <si>
    <t>6, Lorong Kuini Satu</t>
  </si>
  <si>
    <t>Jalan Muthupalaniappa</t>
  </si>
  <si>
    <t>Tel : 04-539 9999</t>
  </si>
  <si>
    <t>No.3, Persiaran Bandar Utama</t>
  </si>
  <si>
    <t>Sri Pentas</t>
  </si>
  <si>
    <t>6th Apr 2015</t>
  </si>
  <si>
    <t>One FM Radio Sdn Bhd</t>
  </si>
  <si>
    <t>28/3/2015</t>
  </si>
  <si>
    <t>Last Fri, Sat and Sun for the month - Mar'15</t>
  </si>
  <si>
    <t>PGTEFT0504</t>
  </si>
  <si>
    <t>Monthly Rental charges on Oohm in whole Penang</t>
  </si>
  <si>
    <t>(+) 6% GST</t>
  </si>
  <si>
    <t>V2015/295</t>
  </si>
  <si>
    <t xml:space="preserve">ICTA FAM Trip </t>
  </si>
  <si>
    <t>19/3/2015</t>
  </si>
  <si>
    <t>CS005233</t>
  </si>
  <si>
    <t>Pewter Plate x 2 pcs</t>
  </si>
  <si>
    <t>V2015/297</t>
  </si>
  <si>
    <t>PGTEFT0506</t>
  </si>
  <si>
    <t>30/3/2015</t>
  </si>
  <si>
    <t>460/PHT/2015</t>
  </si>
  <si>
    <t>Cemetery Tour on 29/3/2015</t>
  </si>
  <si>
    <t>V2015/299</t>
  </si>
  <si>
    <t>PGTEFT0508</t>
  </si>
  <si>
    <t>Revatic A/P Govindaraju</t>
  </si>
  <si>
    <t>17/3/2015</t>
  </si>
  <si>
    <t>1020</t>
  </si>
  <si>
    <t>Tamil translation for Hot Air Balloon Fiesta</t>
  </si>
  <si>
    <t>Silicon Technology Center Sdn Bhd</t>
  </si>
  <si>
    <t>Stradford International College</t>
  </si>
  <si>
    <t>2796 Jalan Chain Ferry</t>
  </si>
  <si>
    <t>Taman Inderawasih</t>
  </si>
  <si>
    <t>13600 Prai</t>
  </si>
  <si>
    <t>Penang Centre of Education Toursim</t>
  </si>
  <si>
    <t>Thoy Siew Ping</t>
  </si>
  <si>
    <t>I/C : 890816-08-5228</t>
  </si>
  <si>
    <t xml:space="preserve">Stationery </t>
  </si>
  <si>
    <t>TLM Event Sdn Bhd</t>
  </si>
  <si>
    <t>54-3-6, Jalan Van Praagh</t>
  </si>
  <si>
    <t>Bandar Jelutong</t>
  </si>
  <si>
    <t>Tel : 04-281 4469</t>
  </si>
  <si>
    <t>Rounding Adjustment</t>
  </si>
  <si>
    <t>21st Apr 2015</t>
  </si>
  <si>
    <t>V2015/342</t>
  </si>
  <si>
    <t>PGTEFT0547</t>
  </si>
  <si>
    <t>Last Fri, Sat and Sun for the month of Mar'15</t>
  </si>
  <si>
    <t>7091</t>
  </si>
  <si>
    <t>28/4/2015</t>
  </si>
  <si>
    <t>Silkair (Singapore) Pte Ltd</t>
  </si>
  <si>
    <t>05-F, Airline House</t>
  </si>
  <si>
    <t>25 Airline Road</t>
  </si>
  <si>
    <t>819829 Singapore</t>
  </si>
  <si>
    <t>7th Fl, Jungan B/D</t>
  </si>
  <si>
    <t xml:space="preserve">95 Seosomun-Ro </t>
  </si>
  <si>
    <t>Jung-Gu</t>
  </si>
  <si>
    <t>100814 Seoul, Korea</t>
  </si>
  <si>
    <t xml:space="preserve">6% GST </t>
  </si>
  <si>
    <t>Saivision Classic Enterprise</t>
  </si>
  <si>
    <t>No.59-1, Tingkat Satu</t>
  </si>
  <si>
    <t>Jalan TPS 1/6</t>
  </si>
  <si>
    <t>Taman Pelangi Semenyih</t>
  </si>
  <si>
    <t>43500 Semenyih</t>
  </si>
  <si>
    <t xml:space="preserve">Permit for Shanghai Yue Opera </t>
  </si>
  <si>
    <t>N/A</t>
  </si>
  <si>
    <t>Parktree Sdn Bhd</t>
  </si>
  <si>
    <t>1688-F8, Jalan Perusahaan</t>
  </si>
  <si>
    <t xml:space="preserve">Auto-City </t>
  </si>
  <si>
    <t>Hight way, Juru Interchange</t>
  </si>
  <si>
    <t>Tel : 04-501 1222</t>
  </si>
  <si>
    <t>Penangnites Sdn Bhd</t>
  </si>
  <si>
    <t>Made In Penang Interactive Museum</t>
  </si>
  <si>
    <t>NO.3, Weld Quay</t>
  </si>
  <si>
    <t>Tel : 04-262 6119</t>
  </si>
  <si>
    <t>V2015/434</t>
  </si>
  <si>
    <t>PGTEFT0613</t>
  </si>
  <si>
    <t>7466/15</t>
  </si>
  <si>
    <t>Power supply for Dell Optiplex 750</t>
  </si>
  <si>
    <t>Being servicing, checking and labour charge</t>
  </si>
  <si>
    <t>Richelle Ann Soliano</t>
  </si>
  <si>
    <t>Copywriting / Translation</t>
  </si>
  <si>
    <t>2/5/2015</t>
  </si>
  <si>
    <t>001</t>
  </si>
  <si>
    <t>Translation work, 10 stories and 11 listing</t>
  </si>
  <si>
    <t>from English to Malay</t>
  </si>
  <si>
    <t>ROD Creative Sdn Bhd</t>
  </si>
  <si>
    <t>10A, Lorong Seratus Tahun</t>
  </si>
  <si>
    <t>Tel : 04-229 6551</t>
  </si>
  <si>
    <t>V2015/443</t>
  </si>
  <si>
    <t>PGTEFT0622</t>
  </si>
  <si>
    <t>Tan Jia Jeat</t>
  </si>
  <si>
    <t>A.R.C Photography &amp; Production Studio</t>
  </si>
  <si>
    <t>No.12A, Jalang Cokmar 2E</t>
  </si>
  <si>
    <t>Mutiara Bukit Raja</t>
  </si>
  <si>
    <t>41050 Klang, Selangor</t>
  </si>
  <si>
    <t>Penang Animen Matsuri</t>
  </si>
  <si>
    <t>0002</t>
  </si>
  <si>
    <t>4/5/2015</t>
  </si>
  <si>
    <t>Photography &amp; Talent Services for photograpy</t>
  </si>
  <si>
    <t>competition</t>
  </si>
  <si>
    <t>V2015/445</t>
  </si>
  <si>
    <t>PGTEFT0624</t>
  </si>
  <si>
    <t>Taiyo Resort (PG) Berhad</t>
  </si>
  <si>
    <t>Penang Golf Club</t>
  </si>
  <si>
    <t>No.2, Jalan Bukit Jambul</t>
  </si>
  <si>
    <t>Lunch / Dinner hosting</t>
  </si>
  <si>
    <t>11/5/2015</t>
  </si>
  <si>
    <t>SJ030362</t>
  </si>
  <si>
    <t>Dinner on 10/5/2015 for 120 pax</t>
  </si>
  <si>
    <t>UM-2015/127</t>
  </si>
  <si>
    <t xml:space="preserve"> - Tramcars (15 June - 6 Sept)</t>
  </si>
  <si>
    <t>50% upfront of total cost SGD122,123.89 for :</t>
  </si>
  <si>
    <t>(SGD 61,061.94 @ 2.7186 )</t>
  </si>
  <si>
    <t>Two Pro Print Services</t>
  </si>
  <si>
    <t>Blok 1-21-07, Desa Pinang 2</t>
  </si>
  <si>
    <t>Voucher No   :</t>
  </si>
  <si>
    <t xml:space="preserve">Bank            :  </t>
  </si>
  <si>
    <t>V2015/486</t>
  </si>
  <si>
    <t>16th June 2015</t>
  </si>
  <si>
    <t>Yau Fong Sze</t>
  </si>
  <si>
    <t>Emcee</t>
  </si>
  <si>
    <t>Trishaw Entourage</t>
  </si>
  <si>
    <t>Being emcee fee for Trishaw Entourage in Hong Kong</t>
  </si>
  <si>
    <t>on 19/6/2015</t>
  </si>
  <si>
    <t>GST on bank charges</t>
  </si>
  <si>
    <t>Syarikat Libraco Agencies Sdn Bhd</t>
  </si>
  <si>
    <t>141, Lebuh Carnarvon</t>
  </si>
  <si>
    <t>10100 GeorgeTown</t>
  </si>
  <si>
    <t>Tel : 04261 7719</t>
  </si>
  <si>
    <t>11/6/2015</t>
  </si>
  <si>
    <t>22nd June 2015</t>
  </si>
  <si>
    <t>V2015/492</t>
  </si>
  <si>
    <t>PGTEFT0658</t>
  </si>
  <si>
    <t>Incentive for MICE</t>
  </si>
  <si>
    <t>12/6/2015</t>
  </si>
  <si>
    <t>2003210</t>
  </si>
  <si>
    <t>Culture performance for Anasethesiology Annual</t>
  </si>
  <si>
    <t>V2015/494</t>
  </si>
  <si>
    <t>PGTEFT0660</t>
  </si>
  <si>
    <t>17/6/2015</t>
  </si>
  <si>
    <t>SV01/06-15</t>
  </si>
  <si>
    <t>Withholding Tax - LHDN</t>
  </si>
  <si>
    <t>Permit charges for MBPP</t>
  </si>
  <si>
    <t>Scientific meeting on 12/6/15</t>
  </si>
  <si>
    <t>(HKD4,800 @ 0.4954)</t>
  </si>
  <si>
    <t>30th June 2015</t>
  </si>
  <si>
    <t>V2015/511</t>
  </si>
  <si>
    <t>PGTEFT0671</t>
  </si>
  <si>
    <t>Renaissance Pewter Sdn Bhd</t>
  </si>
  <si>
    <t>18, Lebuhraya Kapal, Off Jalan Chain Ferry</t>
  </si>
  <si>
    <t>12100 Butterworth</t>
  </si>
  <si>
    <t>Malaysia</t>
  </si>
  <si>
    <t>Tel : 04-333 0866</t>
  </si>
  <si>
    <t>Souvenirs</t>
  </si>
  <si>
    <t>5/6/2015</t>
  </si>
  <si>
    <t>INV 1488</t>
  </si>
  <si>
    <t>Plate in vel box for Quantum of the seas</t>
  </si>
  <si>
    <t>(-) Rounding</t>
  </si>
  <si>
    <t>The Dhol Rhythms of Penang</t>
  </si>
  <si>
    <t>PGTEFT0675</t>
  </si>
  <si>
    <t>V2015/515</t>
  </si>
  <si>
    <t>INV 00000276</t>
  </si>
  <si>
    <t>Printing of Name Card - Matco, Jason &amp; Darren</t>
  </si>
  <si>
    <t>Ng See Lok</t>
  </si>
  <si>
    <t>(I/C : 750327-08-5011)</t>
  </si>
  <si>
    <t>24th July 2015</t>
  </si>
  <si>
    <t>V2015/567</t>
  </si>
  <si>
    <t>PGTEFT077</t>
  </si>
  <si>
    <t>PIBG SM Han Chiang Pulau Pinang</t>
  </si>
  <si>
    <t>Han Chiang High School</t>
  </si>
  <si>
    <t>Jalan Han Chiang</t>
  </si>
  <si>
    <t>Tel : 04-281 1533</t>
  </si>
  <si>
    <t>Welcoming Reception for Quantum of The Seas</t>
  </si>
  <si>
    <t xml:space="preserve">on 10th June 2015 </t>
  </si>
  <si>
    <t>24 Festive Drums Performance on 10/6/2015</t>
  </si>
  <si>
    <t>Redtone Telecommunications Sdn Bhd</t>
  </si>
  <si>
    <t>Suite 22-30, 5th Floor, IOI Business Park</t>
  </si>
  <si>
    <t>47100 Puchong</t>
  </si>
  <si>
    <t>Syarikat WKM</t>
  </si>
  <si>
    <t>No.34 Lebuh Gereja</t>
  </si>
  <si>
    <t>Tel : 04-262 5701</t>
  </si>
  <si>
    <t>Fax : 04-263 6875</t>
  </si>
  <si>
    <t>DC Justice League Run</t>
  </si>
  <si>
    <t>Unreserved Sdn Bhd</t>
  </si>
  <si>
    <t>No.2A, Jalan 13/2</t>
  </si>
  <si>
    <t>Seksyen 13</t>
  </si>
  <si>
    <t>Tel : 03-7495 1188</t>
  </si>
  <si>
    <t>Heritage Walkabout Tour</t>
  </si>
  <si>
    <t xml:space="preserve">Subsidy for Penang Education Fair @ Phuket </t>
  </si>
  <si>
    <t>Olympia College Sdn Bhd</t>
  </si>
  <si>
    <t>D' Orient Mall</t>
  </si>
  <si>
    <t>Kompleks Pulau Mutiara</t>
  </si>
  <si>
    <t>No 8 Gat Lebuh Maccalum</t>
  </si>
  <si>
    <t>10030 Penang</t>
  </si>
  <si>
    <t>Malaysia.</t>
  </si>
  <si>
    <t>Production Cost</t>
  </si>
  <si>
    <t>Lot 2A, Jalan 13/2</t>
  </si>
  <si>
    <t>V2015/604</t>
  </si>
  <si>
    <t>687544</t>
  </si>
  <si>
    <t>26/5/2015</t>
  </si>
  <si>
    <t>CPG001/004</t>
  </si>
  <si>
    <t>Bus Shelter in Singapore</t>
  </si>
  <si>
    <t xml:space="preserve">GST 7% </t>
  </si>
  <si>
    <t>Ads - Radio</t>
  </si>
  <si>
    <t>Sherwynd Rylan Kessler</t>
  </si>
  <si>
    <t>Photographer</t>
  </si>
  <si>
    <t>TOTAL: RINGGIT</t>
  </si>
  <si>
    <t>Chief Executive Director</t>
  </si>
  <si>
    <t>No.27 Jalan Patani</t>
  </si>
  <si>
    <t>10150 Georgetown Penang</t>
  </si>
  <si>
    <t>Tel : 04-210 3452</t>
  </si>
  <si>
    <t>Fax : 04-210 3451</t>
  </si>
  <si>
    <t>Print block charge</t>
  </si>
  <si>
    <t>20th Aug 2015</t>
  </si>
  <si>
    <t>V2015/672</t>
  </si>
  <si>
    <t>PGTEFT0804</t>
  </si>
  <si>
    <t>Olive Tree Concepts Sdn Bhd</t>
  </si>
  <si>
    <t>76, Jalan Mahsuri</t>
  </si>
  <si>
    <t>11950 Bayan Lepas</t>
  </si>
  <si>
    <t>Tel : 04-637 7777</t>
  </si>
  <si>
    <t>Fax : 04-637 7788</t>
  </si>
  <si>
    <t>AirAsia Bloggers Community - Penang Trail Challenge</t>
  </si>
  <si>
    <t>on 7-9th Aug 2015</t>
  </si>
  <si>
    <t>07/08/2015</t>
  </si>
  <si>
    <t>331</t>
  </si>
  <si>
    <t>Hotel Accommodation - 18 rooms nights</t>
  </si>
  <si>
    <t xml:space="preserve">RM250 x 18 </t>
  </si>
  <si>
    <t>Local Govt Fee</t>
  </si>
  <si>
    <t>V2015/674</t>
  </si>
  <si>
    <t>PGTEFT0806</t>
  </si>
  <si>
    <t>Poteto Advertising &amp; Events</t>
  </si>
  <si>
    <t>1 Lorong Mahsuri 9</t>
  </si>
  <si>
    <t>11950 Bayan Baru Penang</t>
  </si>
  <si>
    <t>23/7/205</t>
  </si>
  <si>
    <t>P10100</t>
  </si>
  <si>
    <t xml:space="preserve">Being charges for promotional roadshow for </t>
  </si>
  <si>
    <t xml:space="preserve"> - Heritage celebration </t>
  </si>
  <si>
    <t xml:space="preserve"> - Occupy Beach Street</t>
  </si>
  <si>
    <t xml:space="preserve"> - Colleges</t>
  </si>
  <si>
    <t xml:space="preserve"> - Gyms</t>
  </si>
  <si>
    <t xml:space="preserve"> - Photo shooting</t>
  </si>
  <si>
    <t xml:space="preserve"> - Press Conferene </t>
  </si>
  <si>
    <t xml:space="preserve"> - Gurney paragon</t>
  </si>
  <si>
    <t>V2015/675</t>
  </si>
  <si>
    <t>PGTEFT0807</t>
  </si>
  <si>
    <t>Ads - LED</t>
  </si>
  <si>
    <t>31/7/2015</t>
  </si>
  <si>
    <t>PT15/07/09</t>
  </si>
  <si>
    <t xml:space="preserve">Ads City City LED billboard charges for 1 month </t>
  </si>
  <si>
    <t>(Period 24/7-23/8/2015)</t>
  </si>
  <si>
    <t>Penang Skills Development Centre</t>
  </si>
  <si>
    <t>PSDC Sdn Bhd</t>
  </si>
  <si>
    <t>1, Jalan Sultan Azlan Shah</t>
  </si>
  <si>
    <t>11900 Bayan Baru</t>
  </si>
  <si>
    <t>V2015/688</t>
  </si>
  <si>
    <t>21st Aug 2015</t>
  </si>
  <si>
    <t>Comic Fiesta Mini 2014 on 5-6th Sept 2015</t>
  </si>
  <si>
    <t>687558</t>
  </si>
  <si>
    <t xml:space="preserve">Premium Combo package airtime </t>
  </si>
  <si>
    <t>Oct, Nov &amp; Dec - 3 weeks</t>
  </si>
  <si>
    <t>26th Aug 2015</t>
  </si>
  <si>
    <t>V2015/702</t>
  </si>
  <si>
    <t>PGTEFT0825</t>
  </si>
  <si>
    <t>CP1507027</t>
  </si>
  <si>
    <t>Talen fee for Radio Ads - GTF</t>
  </si>
  <si>
    <t>19/8/2015</t>
  </si>
  <si>
    <t>V2015/708</t>
  </si>
  <si>
    <t>PGTEFT0831</t>
  </si>
  <si>
    <t>Simply De Concepts</t>
  </si>
  <si>
    <t>88-3-62, Sri Wonder</t>
  </si>
  <si>
    <t>Lintang Sungai Pinang</t>
  </si>
  <si>
    <t>Justice League Run on 30th Aug 2015</t>
  </si>
  <si>
    <t>10001.05.01</t>
  </si>
  <si>
    <t>Runnig bibs - 3,300pcs</t>
  </si>
  <si>
    <t>ST/WTTL/15/005136</t>
  </si>
  <si>
    <t>Being domain &amp; hosting renewal for 1 year</t>
  </si>
  <si>
    <t>Period : 26/2-25/2/2016</t>
  </si>
  <si>
    <t>ST/WTTL/15/005188</t>
  </si>
  <si>
    <t>Being 1/2 year website maintenance from Jan - June 2015</t>
  </si>
  <si>
    <t>ST/WTTL/15/005235</t>
  </si>
  <si>
    <t>Being 1/2 year website maintenance from Jul - Aug 2015</t>
  </si>
  <si>
    <t>7/9/2015</t>
  </si>
  <si>
    <t>Fourth payment for Festivals in a Box video</t>
  </si>
  <si>
    <t>28th Sept 2015</t>
  </si>
  <si>
    <t>Actual usage for the month Sept'15 :</t>
  </si>
  <si>
    <t>Black &amp; White -  3,868pcs @ RM0.03</t>
  </si>
  <si>
    <t>Colour - 2,601pcs @ RM0.50</t>
  </si>
  <si>
    <t>Actual usage for the month June'15 :</t>
  </si>
  <si>
    <t>Black &amp; White -  3,810pcs @ RM0.03</t>
  </si>
  <si>
    <t>Colour - 705pcs @ RM0.50</t>
  </si>
  <si>
    <t>Segi College (PG) Sdn Bhd</t>
  </si>
  <si>
    <t xml:space="preserve">43 Green Hall </t>
  </si>
  <si>
    <t>Tel : 04-263 3888</t>
  </si>
  <si>
    <t>Fax : 04-262 2193</t>
  </si>
  <si>
    <t>V2015/797</t>
  </si>
  <si>
    <t>PGTEFT0901</t>
  </si>
  <si>
    <t>Zin Mary</t>
  </si>
  <si>
    <t>K-4-6, Vista Condo</t>
  </si>
  <si>
    <t>Lebuh Relau 2</t>
  </si>
  <si>
    <t>INV 2211</t>
  </si>
  <si>
    <t>Zumba fitness warm up on 30/8/2015</t>
  </si>
  <si>
    <t>Southern Media Ltd</t>
  </si>
  <si>
    <t>29/1 Chaofa Road</t>
  </si>
  <si>
    <t>Taladnua Muang</t>
  </si>
  <si>
    <t>83000 Phuket</t>
  </si>
  <si>
    <t>Thailad</t>
  </si>
  <si>
    <t>Tourism Media Campaign</t>
  </si>
  <si>
    <t xml:space="preserve">8.6m x 4.5m </t>
  </si>
  <si>
    <t>Vinyl Production Cost</t>
  </si>
  <si>
    <t>7% VAT</t>
  </si>
  <si>
    <t>Salient Glory City Sdn Bhd</t>
  </si>
  <si>
    <t>10 Brown Road</t>
  </si>
  <si>
    <t>Solid Equipment Pg Sdn Bhd</t>
  </si>
  <si>
    <t>20th Oct 2015</t>
  </si>
  <si>
    <t>70-A-G, Pengkalan Weld</t>
  </si>
  <si>
    <t>10300 Georgetown</t>
  </si>
  <si>
    <t>Tel /Fax : 04-261 2914</t>
  </si>
  <si>
    <t>Brochure Rack</t>
  </si>
  <si>
    <t>V2015/876</t>
  </si>
  <si>
    <t xml:space="preserve">The Ritz Carlton Millenia Singapore </t>
  </si>
  <si>
    <t>7 Raffles Ave</t>
  </si>
  <si>
    <t>039799 Singapore</t>
  </si>
  <si>
    <t>ITB Asia Singapore Networking Session Together</t>
  </si>
  <si>
    <t>with MAH (Pg Chapter) in Singpapore</t>
  </si>
  <si>
    <t>Proforma Inv C15/0193</t>
  </si>
  <si>
    <t>Cocktail Reception</t>
  </si>
  <si>
    <t>Beverage packge</t>
  </si>
  <si>
    <t>10% Service charge</t>
  </si>
  <si>
    <t>7% GST</t>
  </si>
  <si>
    <t>(SGD17,655 x 3.0832)</t>
  </si>
  <si>
    <t>29/10/2015</t>
  </si>
  <si>
    <t>Mock up paper ballon set - 5,000pcs</t>
  </si>
  <si>
    <t>(Partial payment of total RM20,203.60)</t>
  </si>
  <si>
    <t>17th Nov 2015</t>
  </si>
  <si>
    <t>Performance Plus Marketing</t>
  </si>
  <si>
    <t>45, Lorong Binjal</t>
  </si>
  <si>
    <t>Taman Sri Rambai</t>
  </si>
  <si>
    <t>Tel : 04-5309300</t>
  </si>
  <si>
    <t>Photo/Video Archiving</t>
  </si>
  <si>
    <t>V2015/950</t>
  </si>
  <si>
    <t>PGTEFT1029</t>
  </si>
  <si>
    <t>Zheng He Museum &amp; Restorant Sdn Bhd</t>
  </si>
  <si>
    <t>203 C &amp; D, Hutton Lane</t>
  </si>
  <si>
    <t>Tel : 016-4516120</t>
  </si>
  <si>
    <t>CTV Taiwan "MR Player" Penang Edition Shooting</t>
  </si>
  <si>
    <t>16/7/2015</t>
  </si>
  <si>
    <t>201598</t>
  </si>
  <si>
    <t>Dinner hosting on 27/6/2015</t>
  </si>
  <si>
    <t>V2015/957</t>
  </si>
  <si>
    <t>687606</t>
  </si>
  <si>
    <t>The Life Saving Society Malaysia</t>
  </si>
  <si>
    <t>World Conference on Drowning Prevention 2015</t>
  </si>
  <si>
    <t>C/O 123J, Jalan Utama</t>
  </si>
  <si>
    <t>FR0076</t>
  </si>
  <si>
    <t xml:space="preserve">Support towards the WCDP 2015 Gala Dinner </t>
  </si>
  <si>
    <t>17/11/2015</t>
  </si>
  <si>
    <t>IV-113242</t>
  </si>
  <si>
    <t>Stationery for '15</t>
  </si>
  <si>
    <t>24th Nov 2015</t>
  </si>
  <si>
    <t>21/10/2015</t>
  </si>
  <si>
    <t>V2015/991</t>
  </si>
  <si>
    <t>687611</t>
  </si>
  <si>
    <t>10 Days 3 Festival Publicity</t>
  </si>
  <si>
    <t>UR16/INV/025</t>
  </si>
  <si>
    <t>2 Full page advertisement charges in Unreserved on Oct</t>
  </si>
  <si>
    <t>26th Nov 2015</t>
  </si>
  <si>
    <t>23/11/2015</t>
  </si>
  <si>
    <t>V2015/1010</t>
  </si>
  <si>
    <t>PGTEFT1069</t>
  </si>
  <si>
    <t xml:space="preserve">New Brochure </t>
  </si>
  <si>
    <t>0105</t>
  </si>
  <si>
    <t>Booklet Deisgn &amp; FA for :</t>
  </si>
  <si>
    <t>Burmese Version</t>
  </si>
  <si>
    <t>Vietnamese Version</t>
  </si>
  <si>
    <t xml:space="preserve">Prepared by : </t>
  </si>
  <si>
    <t>Thum Chia Chieh</t>
  </si>
  <si>
    <t>346-4-2, Gat Lebuh Cecil</t>
  </si>
  <si>
    <t>9th Dec 2015</t>
  </si>
  <si>
    <t>V2015/1024</t>
  </si>
  <si>
    <t>PGTEFT1082</t>
  </si>
  <si>
    <t>30/11/2015</t>
  </si>
  <si>
    <t>NovPGT01</t>
  </si>
  <si>
    <t>Translation for Penang Hot Air Balloon Fiesta Media</t>
  </si>
  <si>
    <t xml:space="preserve">Release : </t>
  </si>
  <si>
    <t xml:space="preserve"> - Mandarin Translation</t>
  </si>
  <si>
    <t xml:space="preserve"> - Malay Translation</t>
  </si>
  <si>
    <t>17th Dec 2015</t>
  </si>
  <si>
    <t>Ooi &amp; Associates Tax &amp; Services Sdn Bhd</t>
  </si>
  <si>
    <t>63rd, 3rd Floor, Jalan Selat</t>
  </si>
  <si>
    <t>Taman Selat</t>
  </si>
  <si>
    <t>12000 Butterworth</t>
  </si>
  <si>
    <t>Tel : 04-323 5988</t>
  </si>
  <si>
    <t>V2015/1055</t>
  </si>
  <si>
    <t>PGTEFT1108</t>
  </si>
  <si>
    <t>Taiwan Tactical Campaign</t>
  </si>
  <si>
    <t>17/10/15</t>
  </si>
  <si>
    <t>Entrace Ticket - 473pax</t>
  </si>
  <si>
    <t>Hop On Hop Off + Attraction Tactical Campaign</t>
  </si>
  <si>
    <t>IN1510008</t>
  </si>
  <si>
    <t>IN1510014</t>
  </si>
  <si>
    <t xml:space="preserve">Entrace Ticket - 94pax </t>
  </si>
  <si>
    <t>Subsidy for Penang Education Fair @ Bandung</t>
  </si>
  <si>
    <t>31st Dec 2015</t>
  </si>
  <si>
    <t>V2015/1079</t>
  </si>
  <si>
    <t>PGTEFT1126</t>
  </si>
  <si>
    <t>Editorial services of 6 x feature stories for Dec</t>
  </si>
  <si>
    <t>23/11/15</t>
  </si>
  <si>
    <t>23112015</t>
  </si>
  <si>
    <t>9/12/2015</t>
  </si>
  <si>
    <t>PT Hardaya Widya Graha</t>
  </si>
  <si>
    <t>"Fly me to Penang" Surabaya Campaign</t>
  </si>
  <si>
    <t>V2015/1033</t>
  </si>
  <si>
    <t>7th Dec 2015</t>
  </si>
  <si>
    <t>PT Maju Ika Jaya Tours &amp; Service</t>
  </si>
  <si>
    <t>141, Jalan M.H Thamin</t>
  </si>
  <si>
    <t>Meda 20214 Indonesia</t>
  </si>
  <si>
    <t>Welcoming Reception</t>
  </si>
  <si>
    <t>14/11/2015</t>
  </si>
  <si>
    <t>8/XI/2015</t>
  </si>
  <si>
    <t xml:space="preserve">Sponsorship fee </t>
  </si>
  <si>
    <t>(IDR 50,000,000 @ 0.0326600)</t>
  </si>
  <si>
    <t>31/12/2015</t>
  </si>
  <si>
    <t>18th Jan 2016</t>
  </si>
  <si>
    <t>Ads - Magazine</t>
  </si>
  <si>
    <t>Ads - Outdoor</t>
  </si>
  <si>
    <t>V2016/043</t>
  </si>
  <si>
    <t>PGTEFT1170</t>
  </si>
  <si>
    <t>15/11/2015</t>
  </si>
  <si>
    <t>HP1511006</t>
  </si>
  <si>
    <t>Talent fee for Radio Ads in HotFM- 10 days 3 Festival</t>
  </si>
  <si>
    <t>Publicity - 10 Days 3 Festival</t>
  </si>
  <si>
    <t>HP1512049</t>
  </si>
  <si>
    <t>Talent fee for Radio Ads in HotFM</t>
  </si>
  <si>
    <t>13/1/2016</t>
  </si>
  <si>
    <t>V2016/052</t>
  </si>
  <si>
    <t>PGTEFT1179</t>
  </si>
  <si>
    <t>Office Upkeep and Expenses</t>
  </si>
  <si>
    <t>CB 1238</t>
  </si>
  <si>
    <t>Overhaul ceiling cassette 2hp &amp; top up gas- 8units</t>
  </si>
  <si>
    <t>Overhaul ceiling cassette 1hp &amp; top up gas- 1units</t>
  </si>
  <si>
    <t xml:space="preserve">Normal servie ceiling exposed 5hp </t>
  </si>
  <si>
    <t>Normal servie ceiling cassette exposed 2hp - 5 units</t>
  </si>
  <si>
    <t>Check and supply fan motor capasitor</t>
  </si>
  <si>
    <t>V2016/064</t>
  </si>
  <si>
    <t>PGTEFT1185</t>
  </si>
  <si>
    <t>22nd Jan 2016</t>
  </si>
  <si>
    <t>Riza Helmi Bin Rustam</t>
  </si>
  <si>
    <t>Mavericks Auto Vinyls &amp; Decals</t>
  </si>
  <si>
    <t>Mavericks Venture</t>
  </si>
  <si>
    <t>No.21 Jalan Seri Rejang 4</t>
  </si>
  <si>
    <t>Taman Seri Rampai 53300</t>
  </si>
  <si>
    <t>Kuala Lumpur</t>
  </si>
  <si>
    <t xml:space="preserve">Hot Air Balloon </t>
  </si>
  <si>
    <t>21/1/216</t>
  </si>
  <si>
    <t>4 x 4 UV Printed /Die Cut Out sticker printing &amp; installation</t>
  </si>
  <si>
    <t>Van UV Printed /Die Cut Out sticker printing &amp; installation</t>
  </si>
  <si>
    <t>V2016/069</t>
  </si>
  <si>
    <t>PGTEFT1186</t>
  </si>
  <si>
    <t>27th Jan 2015</t>
  </si>
  <si>
    <t>Tai Krai Café Sdn Bhd</t>
  </si>
  <si>
    <t>Kaffa Espresso Bar</t>
  </si>
  <si>
    <t>Penang International Airport</t>
  </si>
  <si>
    <t>Ho Chi Minh City - Penang Inaugural Flight on 25/1/2016</t>
  </si>
  <si>
    <t>22/1/2016</t>
  </si>
  <si>
    <t>IP012/022</t>
  </si>
  <si>
    <t>Buffet set - 80pax</t>
  </si>
  <si>
    <t>VIP set</t>
  </si>
  <si>
    <t>Optimal Media Sdn Bhd</t>
  </si>
  <si>
    <t>Level 19, Menara KWSP</t>
  </si>
  <si>
    <t>38 Jalan Sultan Ahmad Shah</t>
  </si>
  <si>
    <t>Penang Port Sdn Bhd</t>
  </si>
  <si>
    <t>No.1 Pesara King Edward</t>
  </si>
  <si>
    <t>10300 Georgetown Penang</t>
  </si>
  <si>
    <t>Tel : 04-210 2211</t>
  </si>
  <si>
    <t xml:space="preserve">Rental for space at Lot 4, Seksyen 24 for the month </t>
  </si>
  <si>
    <t>22th Feb 2016</t>
  </si>
  <si>
    <t>(60 drums @ RM9 each)</t>
  </si>
  <si>
    <t>Tactical Campaign - Taiwan</t>
  </si>
  <si>
    <t>V2016/142</t>
  </si>
  <si>
    <t>PGTEFT1250</t>
  </si>
  <si>
    <t>Parazee Showroom</t>
  </si>
  <si>
    <t>21, Jalan Taylor</t>
  </si>
  <si>
    <t>Taman Cheeseman</t>
  </si>
  <si>
    <t xml:space="preserve">George Town </t>
  </si>
  <si>
    <t>10/2/2016</t>
  </si>
  <si>
    <t>PGT-1601001-1</t>
  </si>
  <si>
    <t>LED Dance &amp; Butterfly Dance perfomance on 9 &amp; 10/2</t>
  </si>
  <si>
    <t>V2016/143</t>
  </si>
  <si>
    <t>PGTEFT1251</t>
  </si>
  <si>
    <t>Penang Tourist Centre Bhd</t>
  </si>
  <si>
    <t>Pesara King Edward, 10300</t>
  </si>
  <si>
    <t>P.O.Box 444, 10760 Penang</t>
  </si>
  <si>
    <t>Tel : 04-261 6663</t>
  </si>
  <si>
    <t>0246</t>
  </si>
  <si>
    <t>Museum Adventure Pass RM8 x 9</t>
  </si>
  <si>
    <t>Cost of goods sold - Passport (Feb - Sept'15)</t>
  </si>
  <si>
    <t>1-8-7 Pangsapuri Harmoni</t>
  </si>
  <si>
    <t>11600 Jalan Kenneddy</t>
  </si>
  <si>
    <t>V2016/146</t>
  </si>
  <si>
    <t>PGTEFT1254</t>
  </si>
  <si>
    <t>28/1/2016</t>
  </si>
  <si>
    <t>RF2016-142</t>
  </si>
  <si>
    <t>Collar short sleeves with embroidery polo t-shirt - 55pcs</t>
  </si>
  <si>
    <t>Collar short sleeves with embroidery polo t-shirt - 75pcs</t>
  </si>
  <si>
    <t>Collar short sleeves with embroidery polo t-shirt - 1pc</t>
  </si>
  <si>
    <t>(Sample)</t>
  </si>
  <si>
    <t>Platinum Paradise Sdn Bhd</t>
  </si>
  <si>
    <t>No. 10, Jalan Pelukis U1/46</t>
  </si>
  <si>
    <t>Section U1</t>
  </si>
  <si>
    <t>Temasya Industrial Park, Glenmearie</t>
  </si>
  <si>
    <t>40150 Shah Alam</t>
  </si>
  <si>
    <t>Nabil Akram Bin Nazaruddin</t>
  </si>
  <si>
    <t>7-41 Rosemansion 2 Room 3H</t>
  </si>
  <si>
    <t>7-41 Daito-shi, Daito-cho</t>
  </si>
  <si>
    <t>Osaka 574-0061</t>
  </si>
  <si>
    <t>Japan</t>
  </si>
  <si>
    <t>Working Trip to Tokyo for Anime Japan on 24-27th March 2016</t>
  </si>
  <si>
    <t>Translation services</t>
  </si>
  <si>
    <t>Anime Japan Ticket fee</t>
  </si>
  <si>
    <t>Se Vena Networks Sdn Bhd</t>
  </si>
  <si>
    <t>Level 20, Office Tower, Hotel Royal Penang</t>
  </si>
  <si>
    <t>NO.3, Jalan Larut</t>
  </si>
  <si>
    <t>Tel : 04-376 9061</t>
  </si>
  <si>
    <t>Fax : 04-376 9062</t>
  </si>
  <si>
    <t>11/3/2016</t>
  </si>
  <si>
    <t>V2016/216</t>
  </si>
  <si>
    <t>22th March 2016</t>
  </si>
  <si>
    <t xml:space="preserve">Oon Kok Eu </t>
  </si>
  <si>
    <t>I/C : 890715-07-5469</t>
  </si>
  <si>
    <t>Professional Fees</t>
  </si>
  <si>
    <t>(JPY13,000 @ 0.0361538)</t>
  </si>
  <si>
    <t>13th Apr 2016</t>
  </si>
  <si>
    <t>Penang Batik Factory Sdn Bhd</t>
  </si>
  <si>
    <t>651 MK II Swd Teluk Bahang</t>
  </si>
  <si>
    <t>11050 Penang</t>
  </si>
  <si>
    <t>Tel : 04-885 1284</t>
  </si>
  <si>
    <t>Fax : 04-885 1009</t>
  </si>
  <si>
    <t>V2016/293</t>
  </si>
  <si>
    <t>PGTEFT1372</t>
  </si>
  <si>
    <t>Shimai Enterprise</t>
  </si>
  <si>
    <t>#26-01, Diamond Villa</t>
  </si>
  <si>
    <t>Marquise Tower</t>
  </si>
  <si>
    <t>Tel: 012-546 2776</t>
  </si>
  <si>
    <t>Publicity - Yosakoi Parade</t>
  </si>
  <si>
    <t>Light box banner 14 x 5.5ft</t>
  </si>
  <si>
    <t>Tan Yit Ming</t>
  </si>
  <si>
    <t>52, Lorong Mahsuri 10</t>
  </si>
  <si>
    <t>Tel : 016-471 7971</t>
  </si>
  <si>
    <t>Collaterals Design fees</t>
  </si>
  <si>
    <t>Tropical Agro Farm (Penang) Sdn Bhd</t>
  </si>
  <si>
    <t>V2016/316</t>
  </si>
  <si>
    <t>687697</t>
  </si>
  <si>
    <t>Supersparks Special Effects</t>
  </si>
  <si>
    <t>No.7, Rasmi Jaya 7</t>
  </si>
  <si>
    <t>Taman Rasmi Jaya</t>
  </si>
  <si>
    <t>68000 Ampang</t>
  </si>
  <si>
    <t>Tel : 03-4251 1834</t>
  </si>
  <si>
    <t>Fax : 03-4251 4370</t>
  </si>
  <si>
    <t>17/3/2016</t>
  </si>
  <si>
    <t>016/026</t>
  </si>
  <si>
    <t>Fireworks 6 minutes</t>
  </si>
  <si>
    <t>15/4/2016</t>
  </si>
  <si>
    <t xml:space="preserve">(Total 80 units) </t>
  </si>
  <si>
    <t>Translation fee for tour guiding in Penang</t>
  </si>
  <si>
    <t>Reed Exhibitions Limited</t>
  </si>
  <si>
    <t>Avon House, 435 Stratdford Road</t>
  </si>
  <si>
    <t>Shirley, West Midlands UK</t>
  </si>
  <si>
    <t>World Travel Mart Connect Asia</t>
  </si>
  <si>
    <t>13th May 2016</t>
  </si>
  <si>
    <t>V2016/386</t>
  </si>
  <si>
    <t>PGTEFT1447</t>
  </si>
  <si>
    <t>Subsidy for Penang Fair @ Bandung</t>
  </si>
  <si>
    <t>on 10-14th March 2016</t>
  </si>
  <si>
    <t>18th May 2016</t>
  </si>
  <si>
    <t>V2016/406</t>
  </si>
  <si>
    <t>PGTEFT1458</t>
  </si>
  <si>
    <t xml:space="preserve">Sponsorship for GTF Dinner at Eight Media FAM </t>
  </si>
  <si>
    <t>on 8-11th April 2016</t>
  </si>
  <si>
    <t>8/4/2016</t>
  </si>
  <si>
    <t>S1003/16</t>
  </si>
  <si>
    <t>GTF Dinner on 8/4/2016 (31pax @RM55)</t>
  </si>
  <si>
    <t>Service charge</t>
  </si>
  <si>
    <t>26th May 2016</t>
  </si>
  <si>
    <t>Vanda Dynamic Enterprise</t>
  </si>
  <si>
    <t>723E, 1st Floor, Yellow House</t>
  </si>
  <si>
    <t>Vanda Business Park</t>
  </si>
  <si>
    <t>Jalan Sungai Dua</t>
  </si>
  <si>
    <t>11700 Penang</t>
  </si>
  <si>
    <t>V2016/433</t>
  </si>
  <si>
    <t>PGTEFT1475</t>
  </si>
  <si>
    <t>on 15-20th Jan 2016</t>
  </si>
  <si>
    <t>V2016/434</t>
  </si>
  <si>
    <t>PGTEFT1476</t>
  </si>
  <si>
    <t>Subsidy for Penang Education Fair @ Phuket</t>
  </si>
  <si>
    <t>on 16-19th Jan 2016</t>
  </si>
  <si>
    <t>V2016/435</t>
  </si>
  <si>
    <t>PGTEFT1477</t>
  </si>
  <si>
    <t>Penang Medical College</t>
  </si>
  <si>
    <t>4, Jalan Sepoy Lines</t>
  </si>
  <si>
    <t>10450 George Town Penang</t>
  </si>
  <si>
    <t>Tel : 04-228 7171</t>
  </si>
  <si>
    <t>dated 10.5.2016</t>
  </si>
  <si>
    <t>31st May 2016</t>
  </si>
  <si>
    <t>26/5/2016</t>
  </si>
  <si>
    <t>V2016/448</t>
  </si>
  <si>
    <t>PGTEFT1488</t>
  </si>
  <si>
    <t>Free voucher to TM Singapore</t>
  </si>
  <si>
    <t>IV-00129/16</t>
  </si>
  <si>
    <t>Train ticket - 8pax</t>
  </si>
  <si>
    <t>11/5/2016</t>
  </si>
  <si>
    <t>Radius Exhibits &amp; Interiors Sdn Bhd</t>
  </si>
  <si>
    <t>ITE &amp; MICE Hong Kong</t>
  </si>
  <si>
    <t>UM-2016/218</t>
  </si>
  <si>
    <t xml:space="preserve"> - Tramcars (13 June - 30 Oct)</t>
  </si>
  <si>
    <t>7th June 2016</t>
  </si>
  <si>
    <t>13th June 2016</t>
  </si>
  <si>
    <t>Unit 370B, 148 Electric Road</t>
  </si>
  <si>
    <t>North Point, Hong kong</t>
  </si>
  <si>
    <t>V2016/496</t>
  </si>
  <si>
    <t>Travel Expert Ltd</t>
  </si>
  <si>
    <t>9/F Kowloon Plaza</t>
  </si>
  <si>
    <t>485 Castle Peak Road</t>
  </si>
  <si>
    <t>Lai Chi Kok, Kowloon</t>
  </si>
  <si>
    <t>Joint Advertising Campaign</t>
  </si>
  <si>
    <t>160411</t>
  </si>
  <si>
    <t>Joint Advertising campaign - Travel Expert &amp; PGT</t>
  </si>
  <si>
    <t>(HKD55,000 x 0.5435)</t>
  </si>
  <si>
    <t>GST</t>
  </si>
  <si>
    <t>20th June 2016</t>
  </si>
  <si>
    <t>Prepared by :</t>
  </si>
  <si>
    <t>V2016/499</t>
  </si>
  <si>
    <t>PGTEFT1525</t>
  </si>
  <si>
    <t>Tribeup Sdn Bhd</t>
  </si>
  <si>
    <t>1-15-08, The Spring</t>
  </si>
  <si>
    <t>Lebuh Sungai Pinang 2</t>
  </si>
  <si>
    <t>Geroge Town</t>
  </si>
  <si>
    <t>Training &amp; Development</t>
  </si>
  <si>
    <t>14/6/2016</t>
  </si>
  <si>
    <t>335</t>
  </si>
  <si>
    <t>Effective Facebook Marketing Boot Camp on 21-22th June</t>
  </si>
  <si>
    <t>(2 pax )</t>
  </si>
  <si>
    <t>V2016/518</t>
  </si>
  <si>
    <t>PGTEFT1543</t>
  </si>
  <si>
    <t>12/6/2016</t>
  </si>
  <si>
    <t>006/06/2016/B99</t>
  </si>
  <si>
    <t>Printing of Discovery Balik Pulau Map - 40,000pcs</t>
  </si>
  <si>
    <t>Handlee fee</t>
  </si>
  <si>
    <t>Star Media Group Berhad</t>
  </si>
  <si>
    <t>2/6/2016</t>
  </si>
  <si>
    <t>23rd June 2016</t>
  </si>
  <si>
    <t>V2016/497</t>
  </si>
  <si>
    <t>Newfair (HK) Ltd</t>
  </si>
  <si>
    <t>271, Shek Po Tsuen</t>
  </si>
  <si>
    <t>Hung Shui Kiu</t>
  </si>
  <si>
    <t>Ping Shan Heung</t>
  </si>
  <si>
    <t>Yuen Long, N.T. HK</t>
  </si>
  <si>
    <t>0006233</t>
  </si>
  <si>
    <t>Being payment for lighting connections &amp; power supply</t>
  </si>
  <si>
    <t>at venue</t>
  </si>
  <si>
    <t>(HKD9,400 @ 1.82882)</t>
  </si>
  <si>
    <t>50% of balance SGD143,074.52 for :</t>
  </si>
  <si>
    <t>(SGD 71,537.26 @  )</t>
  </si>
  <si>
    <t>4/7/2016</t>
  </si>
  <si>
    <t>ST/WTT/16/05270</t>
  </si>
  <si>
    <t>Being 1/2 year website maintenance from July-Dec 2016</t>
  </si>
  <si>
    <t>15/7/2016</t>
  </si>
  <si>
    <t>ST/WTT/16/05127</t>
  </si>
  <si>
    <t>Domain Hosting for PCET</t>
  </si>
  <si>
    <t>Period : 26/2-25/2/2017</t>
  </si>
  <si>
    <t>Sloane International DMCC</t>
  </si>
  <si>
    <t>Cluster D, Indigo Tower</t>
  </si>
  <si>
    <t>Jumeirah Lakes Tower</t>
  </si>
  <si>
    <t>Dubai UAE</t>
  </si>
  <si>
    <t>Advance payment :</t>
  </si>
  <si>
    <t>Memo dated</t>
  </si>
  <si>
    <t>2/8/2016</t>
  </si>
  <si>
    <t>OHL Designers</t>
  </si>
  <si>
    <t>295-K, Gte Keat Estate, MK 16</t>
  </si>
  <si>
    <t>Tel : 044-8299350</t>
  </si>
  <si>
    <t>United Buddy Bear</t>
  </si>
  <si>
    <t xml:space="preserve">Construction of 7m height metal bear </t>
  </si>
  <si>
    <t>sculpture fabricated with BRC mesh</t>
  </si>
  <si>
    <t xml:space="preserve">Bank           :  </t>
  </si>
  <si>
    <t>25th Aug 2016</t>
  </si>
  <si>
    <t>V2016/682</t>
  </si>
  <si>
    <t>P. T NSW Global</t>
  </si>
  <si>
    <t>Grand Ruko Aries Niaga</t>
  </si>
  <si>
    <t>Block G1, No.2 Q</t>
  </si>
  <si>
    <t>Jalan Taman Ares, West Jakarta</t>
  </si>
  <si>
    <t>10/8/2016</t>
  </si>
  <si>
    <t>WEEI/10/2016/282</t>
  </si>
  <si>
    <t>Booth - World Education Expo Indonesia 2016</t>
  </si>
  <si>
    <t>17/8/2016</t>
  </si>
  <si>
    <t>28/8/2016</t>
  </si>
  <si>
    <t xml:space="preserve"> - George Town Night Trail </t>
  </si>
  <si>
    <t xml:space="preserve"> - Guide walk @ Penang Botanic Garden</t>
  </si>
  <si>
    <t xml:space="preserve"> - Francis Light Cemetery Tour</t>
  </si>
  <si>
    <t>2nd Sept 2016</t>
  </si>
  <si>
    <t>V2016/710</t>
  </si>
  <si>
    <t>Saigon Boulevard Complex Company Limited</t>
  </si>
  <si>
    <t>39 Le Duan, Dist 1</t>
  </si>
  <si>
    <t>Ho Chi Minh, Viet Nam</t>
  </si>
  <si>
    <t>ITE Ho Chi Minh</t>
  </si>
  <si>
    <t>1/9/2016</t>
  </si>
  <si>
    <t>010916</t>
  </si>
  <si>
    <t>HCM City Agent Networking Lunch on 7/9/16</t>
  </si>
  <si>
    <t>(USD1,247.40 x 4.1604)</t>
  </si>
  <si>
    <t>5th Sept 2016</t>
  </si>
  <si>
    <t>V2016/723</t>
  </si>
  <si>
    <t>PGTEFT1700</t>
  </si>
  <si>
    <t>United Buddy Bears Penang</t>
  </si>
  <si>
    <t>30/8/2016</t>
  </si>
  <si>
    <t>00000733</t>
  </si>
  <si>
    <t>Customize Wooden Frame for souvenirs (5pcs)</t>
  </si>
  <si>
    <t>V2016/726</t>
  </si>
  <si>
    <t>687774</t>
  </si>
  <si>
    <t>1348</t>
  </si>
  <si>
    <t>(50% balance of RM30,000)</t>
  </si>
  <si>
    <t>PICEB Sdn Bhd</t>
  </si>
  <si>
    <t>No.14A &amp; 16A (First Floor)</t>
  </si>
  <si>
    <t>The Whiteaways Arcade</t>
  </si>
  <si>
    <t xml:space="preserve">Lebuh Pantai, 10300 </t>
  </si>
  <si>
    <t>Titan System Integeration Sdn Bhd</t>
  </si>
  <si>
    <t>1-12B-08, Suntech @ Penang Cybercity</t>
  </si>
  <si>
    <t>Lintang Mayang Pasir 3</t>
  </si>
  <si>
    <t>11950 Bayan Baru</t>
  </si>
  <si>
    <t>15th Sept 2016</t>
  </si>
  <si>
    <t>V2016/741</t>
  </si>
  <si>
    <t>PGTEFT1710</t>
  </si>
  <si>
    <t>Pinang Peranakan Mansion Sdn Bhd</t>
  </si>
  <si>
    <t>29, Church Street</t>
  </si>
  <si>
    <t>Tel : 04-264 2929</t>
  </si>
  <si>
    <t>Fax : 04-264 1929</t>
  </si>
  <si>
    <t>China Tactical Campaign with Ctrip</t>
  </si>
  <si>
    <t>I-000104</t>
  </si>
  <si>
    <t>Entrance ticket 500pcs @ RM15 per pc</t>
  </si>
  <si>
    <t>8/9/2016</t>
  </si>
  <si>
    <t>28th Sept 2016</t>
  </si>
  <si>
    <t>PG Holiao Marketing</t>
  </si>
  <si>
    <t>66 Lorong Perda Timur 9</t>
  </si>
  <si>
    <t>Bandar Perda</t>
  </si>
  <si>
    <t>13600 Bukit Mertajam</t>
  </si>
  <si>
    <t>04-548 9997</t>
  </si>
  <si>
    <t>TIC  (Account 2205 4372 8710)</t>
  </si>
  <si>
    <t>PGT  (Account 2205 4372 6302)</t>
  </si>
  <si>
    <t>Store Room (Account 2205 4374 0007)</t>
  </si>
  <si>
    <t>V2016/774</t>
  </si>
  <si>
    <t>687786</t>
  </si>
  <si>
    <t>INV14000705</t>
  </si>
  <si>
    <t>(Period : 14/10/16-13/11/16)</t>
  </si>
  <si>
    <t>V2016/732</t>
  </si>
  <si>
    <t>9th Sept 2016</t>
  </si>
  <si>
    <t>SM1608-029</t>
  </si>
  <si>
    <t>Billboard @ Phuket Town PC6</t>
  </si>
  <si>
    <t xml:space="preserve"> - Monthly Charges </t>
  </si>
  <si>
    <t>Sledgehammer Communications (M) Sdn Bhd</t>
  </si>
  <si>
    <t>22B, Jalan Tun Mohd Faud Satu</t>
  </si>
  <si>
    <t>Taman Tun Dr Ismail</t>
  </si>
  <si>
    <t>60000 KL</t>
  </si>
  <si>
    <t>V2016/788</t>
  </si>
  <si>
    <t>PGTEFT1745</t>
  </si>
  <si>
    <t>6th Oct 2016</t>
  </si>
  <si>
    <t>4/10/2016</t>
  </si>
  <si>
    <t>00015686</t>
  </si>
  <si>
    <t>Dragon Masterclass &amp; Awards Ceremony 2016</t>
  </si>
  <si>
    <t>Participation fee (1 pax)</t>
  </si>
  <si>
    <t>Conference Room (Account 2205 4373 5508)</t>
  </si>
  <si>
    <t>18th Oct 2016</t>
  </si>
  <si>
    <t>1/10/16</t>
  </si>
  <si>
    <t>V2016/843</t>
  </si>
  <si>
    <t>PGTEFT1797</t>
  </si>
  <si>
    <t>dated 10.10.16</t>
  </si>
  <si>
    <t>Purchase of milo packet for St Nicholas</t>
  </si>
  <si>
    <t>White Cane Day on 15/10/16</t>
  </si>
  <si>
    <t>Tropical Spice Garden Sdn Bhd</t>
  </si>
  <si>
    <t>PT Elite Prima Hutama</t>
  </si>
  <si>
    <t>Eightyeight @ Kasablanka Tower B</t>
  </si>
  <si>
    <t>Lantai 20, JL Casdablanca Raya Kav 88</t>
  </si>
  <si>
    <t>Jakarta</t>
  </si>
  <si>
    <t>Fly me to Penang - Jakarta</t>
  </si>
  <si>
    <t>Coorperation on Branding event of " Fly me to Penang"</t>
  </si>
  <si>
    <t>28th Oct 2016</t>
  </si>
  <si>
    <t>Sharon Saw Shu Mei</t>
  </si>
  <si>
    <t>369, Lorong Maarof</t>
  </si>
  <si>
    <t>Bukit Bandaraya KL 59000</t>
  </si>
  <si>
    <t>Tel : 012-489 4891</t>
  </si>
  <si>
    <t>V2016/882</t>
  </si>
  <si>
    <t>PGTEFT1787</t>
  </si>
  <si>
    <t>Vouk Hotel Management Sdn Bhd</t>
  </si>
  <si>
    <t>57-G-3, Mansion One</t>
  </si>
  <si>
    <t>Jalan Sultan Ahmad Shah</t>
  </si>
  <si>
    <t>Georgetown, 10050 Penang</t>
  </si>
  <si>
    <t>Tel :04-370 8333</t>
  </si>
  <si>
    <t>TM Dubai Quatar Bahran Agents FAM Trip</t>
  </si>
  <si>
    <t>7/10/16</t>
  </si>
  <si>
    <t>3095</t>
  </si>
  <si>
    <t>Local Government fee</t>
  </si>
  <si>
    <t>Hotel Accommodation - 6 room nights @ RM216.98</t>
  </si>
  <si>
    <t>31st Oct 2016</t>
  </si>
  <si>
    <t>V2016/900</t>
  </si>
  <si>
    <t>18/10/16</t>
  </si>
  <si>
    <t>073M/2016</t>
  </si>
  <si>
    <t>Sponsorship for World Curry Festival 2016</t>
  </si>
  <si>
    <t>27/10/16</t>
  </si>
  <si>
    <t>Pixel Agent Studio</t>
  </si>
  <si>
    <t>16-2A, Jalan Bandar 2</t>
  </si>
  <si>
    <t>Pusat Bandar Puchong</t>
  </si>
  <si>
    <t>Puchong Selangor</t>
  </si>
  <si>
    <t>47100 Malaysia</t>
  </si>
  <si>
    <t>Photography of selected areas at Seberang Perai</t>
  </si>
  <si>
    <t>Wonderfood Museum Sdn Bhd</t>
  </si>
  <si>
    <t>No.54-2 Jalan USJ 9/5P</t>
  </si>
  <si>
    <t>47620 Subang Jaya</t>
  </si>
  <si>
    <t>1/11/16</t>
  </si>
  <si>
    <t>Wing Hup Frame Maker</t>
  </si>
  <si>
    <t>NO. 268, Lebuh Chulia</t>
  </si>
  <si>
    <t>Tel : 04-2614959</t>
  </si>
  <si>
    <t>Souvenirs/Gifts</t>
  </si>
  <si>
    <t>V2016/957</t>
  </si>
  <si>
    <t>687821</t>
  </si>
  <si>
    <t>30th Nov 2016</t>
  </si>
  <si>
    <t>Rexpocentral Sdn Bhd</t>
  </si>
  <si>
    <t>Unit L1-13, Cova Square</t>
  </si>
  <si>
    <t xml:space="preserve">Jalan Teknologi, PJU 5, Kota Damansara </t>
  </si>
  <si>
    <t>V2016/986</t>
  </si>
  <si>
    <t>687832</t>
  </si>
  <si>
    <t>ITB Asia in Singapore 2016</t>
  </si>
  <si>
    <t>EPDD067A/01/09/16</t>
  </si>
  <si>
    <t xml:space="preserve">Being constructions &amp; erections in ITB Asia </t>
  </si>
  <si>
    <t>(SGD199,134.43 @ 3.0034)</t>
  </si>
  <si>
    <t>7th Dec 2016</t>
  </si>
  <si>
    <t>V2016/1004</t>
  </si>
  <si>
    <t>PGTEFT1911</t>
  </si>
  <si>
    <t>World Tourism Conference</t>
  </si>
  <si>
    <t>16/11/16</t>
  </si>
  <si>
    <t>Tour guiding service :</t>
  </si>
  <si>
    <t>2 tourist guide on 18/10</t>
  </si>
  <si>
    <t>4 tourist guide on 18/10</t>
  </si>
  <si>
    <t>1/12/16</t>
  </si>
  <si>
    <t>Glow Penang</t>
  </si>
  <si>
    <t>V2016/1026</t>
  </si>
  <si>
    <t>Premier Holidays Limited</t>
  </si>
  <si>
    <t>Building 1020</t>
  </si>
  <si>
    <t>Cambridge Business Park</t>
  </si>
  <si>
    <t>Cambourne</t>
  </si>
  <si>
    <t>CB23 6DW</t>
  </si>
  <si>
    <t>Tactical Campaign - UK</t>
  </si>
  <si>
    <t>27/09/16</t>
  </si>
  <si>
    <t>01927</t>
  </si>
  <si>
    <t>Premier Holidays Destination Campaign July &amp; Aug 2016</t>
  </si>
  <si>
    <t>(GBP10,000 @ 5.6870)</t>
  </si>
  <si>
    <t>V2016/1028</t>
  </si>
  <si>
    <t>8th Dec 2016</t>
  </si>
  <si>
    <t>14/09/16</t>
  </si>
  <si>
    <t>(IDR51,156,000 @ 0.0003509)</t>
  </si>
  <si>
    <t>EP/SP/16-09/01400</t>
  </si>
  <si>
    <t>EP/SP/16-09/01412</t>
  </si>
  <si>
    <t xml:space="preserve">Deposit for hanging poster </t>
  </si>
  <si>
    <t>(IDR5,000,000 @ 0.0003509)</t>
  </si>
  <si>
    <t>19th Dec 2016</t>
  </si>
  <si>
    <t>V2016/1038</t>
  </si>
  <si>
    <t>PGTEFT1938</t>
  </si>
  <si>
    <t>Neo Sentuhan Sdn Bhd</t>
  </si>
  <si>
    <t>Blok 88-3-41 Kompleks Sri Wonder</t>
  </si>
  <si>
    <t xml:space="preserve">Malaysia </t>
  </si>
  <si>
    <t>81743</t>
  </si>
  <si>
    <t>Photograph for one time use agreement - Peranakan Brochure</t>
  </si>
  <si>
    <t>V2016/1040</t>
  </si>
  <si>
    <t>PGTEFT1940</t>
  </si>
  <si>
    <t>GRNT16100249</t>
  </si>
  <si>
    <t>of Sept'16</t>
  </si>
  <si>
    <t>GRNT16100250</t>
  </si>
  <si>
    <t>of Oct'16</t>
  </si>
  <si>
    <t>GRNT16110208</t>
  </si>
  <si>
    <t>of Nov'16</t>
  </si>
  <si>
    <t>GRNT16120136</t>
  </si>
  <si>
    <t>of Dec'16</t>
  </si>
  <si>
    <t>V2016/1049</t>
  </si>
  <si>
    <t>PGTEFT1949</t>
  </si>
  <si>
    <t>V2016/1053</t>
  </si>
  <si>
    <t>PGTEFT1953</t>
  </si>
  <si>
    <t>WeddingsMalaysia.com Sdn Bhd</t>
  </si>
  <si>
    <t>B-08-3A Block B</t>
  </si>
  <si>
    <t>3 Two Square Jalan 19/1</t>
  </si>
  <si>
    <t>46300 Petaling Jaya</t>
  </si>
  <si>
    <t>13/09/16</t>
  </si>
  <si>
    <t>2237</t>
  </si>
  <si>
    <t>3 Story package - Destination weddings</t>
  </si>
  <si>
    <t>15/12/16</t>
  </si>
  <si>
    <t>Regent Media Sdn Bhd</t>
  </si>
  <si>
    <t>Unit 6.02, Level 6, Menara Maxisegar</t>
  </si>
  <si>
    <t>Jalan Pandan Indah 4/2</t>
  </si>
  <si>
    <t xml:space="preserve">Pandah Indah </t>
  </si>
  <si>
    <t>Ads insertion in Escape Asia Edition Magazine</t>
  </si>
  <si>
    <t>23rd Dec 2016</t>
  </si>
  <si>
    <t>Phar Partnerships (Malaysia) Sdn Bhd</t>
  </si>
  <si>
    <t>Unit 3A-01, Wisma N2N, Tower 2</t>
  </si>
  <si>
    <t>Bangsar South, No.8, Jalan Kerinchi</t>
  </si>
  <si>
    <t>Kuala Lumpur 59200</t>
  </si>
  <si>
    <t>Being payment for full page print ads on Travel3Sixty</t>
  </si>
  <si>
    <t>SMI Holiday (M) Sdn Bhd</t>
  </si>
  <si>
    <t>98-1-02, Prima Tanjung</t>
  </si>
  <si>
    <t xml:space="preserve">Jalan Fettes </t>
  </si>
  <si>
    <t>Tel : 04-890 8131</t>
  </si>
  <si>
    <t>Fax : 04-890 6364</t>
  </si>
  <si>
    <t>TM Osaka - DJ Yumi FAM Trip on 26/11-28/11/16</t>
  </si>
  <si>
    <t>21/12/16</t>
  </si>
  <si>
    <t>16031709</t>
  </si>
  <si>
    <t>Lunch &amp; drinks on 28/11/16</t>
  </si>
  <si>
    <t>Ground handler include transportation &amp; etc</t>
  </si>
  <si>
    <t>V2016/1088</t>
  </si>
  <si>
    <t>PGTEFT1976</t>
  </si>
  <si>
    <t>Virture Arts Enterprise</t>
  </si>
  <si>
    <t>1C-4-N2, Taman Leader</t>
  </si>
  <si>
    <t>11200 Jalan Chee Seng 13</t>
  </si>
  <si>
    <t xml:space="preserve">Tanjong Bunga </t>
  </si>
  <si>
    <t>Mini Hot Air Balloon Fiesta</t>
  </si>
  <si>
    <t>18/12/16</t>
  </si>
  <si>
    <t>E20160039</t>
  </si>
  <si>
    <t>Being emcee &amp; broadcasting service on 18/12/16</t>
  </si>
  <si>
    <t>Collar Short Sleeve T-Shirt (QD4109) - 44pcs</t>
  </si>
  <si>
    <t>Collar Short Sleeve T-Shirt (QD4214) - 44pcs</t>
  </si>
  <si>
    <t>29/12/16</t>
  </si>
  <si>
    <t>Penang Centre of Medical Tourism</t>
  </si>
  <si>
    <t>PGTEFT2003</t>
  </si>
  <si>
    <t>V2017/007</t>
  </si>
  <si>
    <t>10th Jan 2017</t>
  </si>
  <si>
    <t>13th Jan 2017</t>
  </si>
  <si>
    <t>V2017/023</t>
  </si>
  <si>
    <t>PGTEFT2018</t>
  </si>
  <si>
    <t>301</t>
  </si>
  <si>
    <t>50% balance of total RM9,500</t>
  </si>
  <si>
    <t>V2017/025</t>
  </si>
  <si>
    <t>PGTEFT2020</t>
  </si>
  <si>
    <t>Ads - Social Media</t>
  </si>
  <si>
    <t>2338</t>
  </si>
  <si>
    <t>Being social media marketing service for HAB 2016</t>
  </si>
  <si>
    <t>V2017/030</t>
  </si>
  <si>
    <t>PGTEFT2025</t>
  </si>
  <si>
    <t xml:space="preserve">Time Tunnel Connections </t>
  </si>
  <si>
    <t>No. 1-4-03, Jalan P. Ramlee</t>
  </si>
  <si>
    <t>Tel :04-656 1234</t>
  </si>
  <si>
    <t>Fax : 04-657 1234</t>
  </si>
  <si>
    <t>6/1/17</t>
  </si>
  <si>
    <t>GST1700001</t>
  </si>
  <si>
    <t>Entrance ticket - 56pcs</t>
  </si>
  <si>
    <t>Pico International (M) Sdn Bhd</t>
  </si>
  <si>
    <t>Wisma Pico</t>
  </si>
  <si>
    <t>19-20, Jalan Tembaga SD5/2</t>
  </si>
  <si>
    <t>52200 Kuala Lumpur</t>
  </si>
  <si>
    <t>31st Jan 2017</t>
  </si>
  <si>
    <t>V2017/069</t>
  </si>
  <si>
    <t>PGTEFT2056</t>
  </si>
  <si>
    <t>10/1/2017</t>
  </si>
  <si>
    <t>17/PGT01</t>
  </si>
  <si>
    <t>Editing of Penang International Food Festival document</t>
  </si>
  <si>
    <t>Singapore Airlines Limited</t>
  </si>
  <si>
    <t>Tactical Campaign - Germany</t>
  </si>
  <si>
    <t>7th Feb 2017</t>
  </si>
  <si>
    <t>V2017/101</t>
  </si>
  <si>
    <t>PGTEFT2080</t>
  </si>
  <si>
    <t>Yee Zen Ming Enterprise</t>
  </si>
  <si>
    <t>137, Jalan Desa 4/1</t>
  </si>
  <si>
    <t>48000 Rawang</t>
  </si>
  <si>
    <t>Selangor, Malaysia</t>
  </si>
  <si>
    <t>6/2/2017</t>
  </si>
  <si>
    <t>INV-N1180</t>
  </si>
  <si>
    <t>Norton Internet Security - 1 Year 3 PCs</t>
  </si>
  <si>
    <t>Rela Timur Laut Enterprise</t>
  </si>
  <si>
    <t>Pejabat Rela Daerah Timur Laut Pulau Pinang</t>
  </si>
  <si>
    <t>7/2/2017</t>
  </si>
  <si>
    <t>Thai International Travel Fair</t>
  </si>
  <si>
    <t>Being placement of STMMD in RHB Cash</t>
  </si>
  <si>
    <t xml:space="preserve">Management Fund 1 </t>
  </si>
  <si>
    <t>Sync Global Resources</t>
  </si>
  <si>
    <t>15A, Lorong Kucing</t>
  </si>
  <si>
    <t>10350 George Town</t>
  </si>
  <si>
    <t>Tel : 012-428 9820</t>
  </si>
  <si>
    <t xml:space="preserve">exhibition in HCMH City </t>
  </si>
  <si>
    <t>3/2/2017</t>
  </si>
  <si>
    <t>Sunway Biz Hotel Sdn Bhd</t>
  </si>
  <si>
    <t>33, New Lane (Off Macalister Road)</t>
  </si>
  <si>
    <t>ProForma Inv</t>
  </si>
  <si>
    <t>8th Feb 2017</t>
  </si>
  <si>
    <t xml:space="preserve">33rd Floor LKG Tower </t>
  </si>
  <si>
    <t>1226 Philippines</t>
  </si>
  <si>
    <t>Tactical Campaign - Philippines</t>
  </si>
  <si>
    <t>6 % GST</t>
  </si>
  <si>
    <t>V2017/108</t>
  </si>
  <si>
    <t>SilkAir (Singapore) Private Limited</t>
  </si>
  <si>
    <t>Unit D 7Floor Pioneer House</t>
  </si>
  <si>
    <t>Cardinal Rosales Ave</t>
  </si>
  <si>
    <t>Cebu Business Park, Cebu City 6000</t>
  </si>
  <si>
    <t>21/12/2016</t>
  </si>
  <si>
    <t>1800117001</t>
  </si>
  <si>
    <t xml:space="preserve">Facebook ads campaign with SilkAir </t>
  </si>
  <si>
    <t>(USD2,000 @ 4.4843)</t>
  </si>
  <si>
    <t>128/45 5FL Unit G, Payatai Building</t>
  </si>
  <si>
    <t>Phyathai Road</t>
  </si>
  <si>
    <t>Tungphyathai Road</t>
  </si>
  <si>
    <t>10400 Bangkok</t>
  </si>
  <si>
    <t>PT Indonesia AirAsia</t>
  </si>
  <si>
    <t>JL Marsekal Suryadharma,</t>
  </si>
  <si>
    <t>No.1/M1 Kel Selapajang Jaya</t>
  </si>
  <si>
    <t>Kec Neglasari, Tangerang</t>
  </si>
  <si>
    <t>15127 Indonesia</t>
  </si>
  <si>
    <t>V2017/116</t>
  </si>
  <si>
    <t>13th Feb 2017</t>
  </si>
  <si>
    <t>N.C.C Management &amp; Development Co Ltd</t>
  </si>
  <si>
    <t>60 Queen Sirikit National Convention Center</t>
  </si>
  <si>
    <t>New Rachadapisek Road</t>
  </si>
  <si>
    <t>Klongtoey, Sub-District</t>
  </si>
  <si>
    <t>Thai International Fair Bangkok</t>
  </si>
  <si>
    <t>INV201700190</t>
  </si>
  <si>
    <t xml:space="preserve">Cleaning Service </t>
  </si>
  <si>
    <t>(THB 5,500 @ 0.13490)</t>
  </si>
  <si>
    <t>8/2/2017</t>
  </si>
  <si>
    <t>INV 76851</t>
  </si>
  <si>
    <t xml:space="preserve">Electrical Charges </t>
  </si>
  <si>
    <t>(THB 18,596.60 @ 0.13490)</t>
  </si>
  <si>
    <t>27th Feb 2017</t>
  </si>
  <si>
    <t>6801 Ayala Avenue Makati City</t>
  </si>
  <si>
    <t>V2017/159</t>
  </si>
  <si>
    <t>1800062002-1</t>
  </si>
  <si>
    <t>Being Bank Charges from overseas for V2017/057</t>
  </si>
  <si>
    <t>(EUR 20 @ 4.777)</t>
  </si>
  <si>
    <t xml:space="preserve">Bank charges in Germany borne by PGT </t>
  </si>
  <si>
    <t xml:space="preserve">Penang International Food Festival </t>
  </si>
  <si>
    <t>YTL Info Screen Sdn Bhd</t>
  </si>
  <si>
    <t>Level 3, Annexe Block</t>
  </si>
  <si>
    <t>Lot 10 Shopping Centre</t>
  </si>
  <si>
    <t>50 Jalan Sultan Ismail</t>
  </si>
  <si>
    <t>(20% of RM199,280)</t>
  </si>
  <si>
    <t>Workstar Solutions</t>
  </si>
  <si>
    <t>No.1, Lebuhraya Tun Dr. Lim Chong Eu</t>
  </si>
  <si>
    <t>27/12/2016</t>
  </si>
  <si>
    <t>A000106</t>
  </si>
  <si>
    <t xml:space="preserve">Penang Centre of Medical Tourism </t>
  </si>
  <si>
    <t>Collar T-Shirt QD4109 - 28pcs</t>
  </si>
  <si>
    <t>Collar T-Shirt QD4214 - 28pcs</t>
  </si>
  <si>
    <t>23rd March 2017</t>
  </si>
  <si>
    <t>V2017/215</t>
  </si>
  <si>
    <t>687901</t>
  </si>
  <si>
    <t>15/3/2017</t>
  </si>
  <si>
    <t>SYNC/17/02</t>
  </si>
  <si>
    <t>Being balance fee of service contract of organising PMED</t>
  </si>
  <si>
    <t>(USD9,130 @ 4.5)</t>
  </si>
  <si>
    <t>V2017/239</t>
  </si>
  <si>
    <t>PGTEFT2178</t>
  </si>
  <si>
    <t>V2017/242</t>
  </si>
  <si>
    <t>15th March 2017</t>
  </si>
  <si>
    <t>Verana Press Co. Ltd</t>
  </si>
  <si>
    <t>Sukhumvit 77 Rd</t>
  </si>
  <si>
    <t xml:space="preserve">Suanluang Suangluang District Bangkok </t>
  </si>
  <si>
    <t>919 Soi Onnuch 39</t>
  </si>
  <si>
    <t>Thai International Fair</t>
  </si>
  <si>
    <t>14/2/2017</t>
  </si>
  <si>
    <t>IV6002/0044</t>
  </si>
  <si>
    <t>Brochure printing - 5,000 sets</t>
  </si>
  <si>
    <t>Creative &amp; Design</t>
  </si>
  <si>
    <t>31st March 2017</t>
  </si>
  <si>
    <t>V2017/269</t>
  </si>
  <si>
    <t>PGTEFT2197</t>
  </si>
  <si>
    <t>22/3/2017</t>
  </si>
  <si>
    <t>1600</t>
  </si>
  <si>
    <t>Chingay performance for Food Festival on 13/3/2017</t>
  </si>
  <si>
    <t>V2017/274</t>
  </si>
  <si>
    <t>PGTEFT2202</t>
  </si>
  <si>
    <t>Tay Yi Lin</t>
  </si>
  <si>
    <t>I/C : 930124-07-5444</t>
  </si>
  <si>
    <t>Publicity - Penang Trishaw Entourage</t>
  </si>
  <si>
    <t>23/3/2017</t>
  </si>
  <si>
    <t>C001</t>
  </si>
  <si>
    <t>Website content for PTE</t>
  </si>
  <si>
    <t>Veqta Translations Pte Ltd</t>
  </si>
  <si>
    <t>531A Upper Cross Street</t>
  </si>
  <si>
    <t>#04-95 Hong Lim Complex</t>
  </si>
  <si>
    <t>051531 Singapore</t>
  </si>
  <si>
    <t>4th April 2017</t>
  </si>
  <si>
    <t>V2017/287</t>
  </si>
  <si>
    <t>3.4.2017</t>
  </si>
  <si>
    <t>Purchase of Photo for PTE</t>
  </si>
  <si>
    <t xml:space="preserve"> - Purchase of photo for PTE website</t>
  </si>
  <si>
    <t>Penang Trishaw Entourage</t>
  </si>
  <si>
    <t>30/3/2017</t>
  </si>
  <si>
    <t>9705</t>
  </si>
  <si>
    <t>Inspection, Collection, Parking &amp; Transportation, Graphics</t>
  </si>
  <si>
    <t>Set &amp; Productions, Loose Furniture, 6 cities prelimninaries</t>
  </si>
  <si>
    <t>flooring, labour, AV equipment, electrical, entertainment</t>
  </si>
  <si>
    <t>project site operations, coordination &amp; supervision,</t>
  </si>
  <si>
    <t xml:space="preserve">packaging and freight </t>
  </si>
  <si>
    <t>(Details refer to Quo # KSY/095/-R5/2012)</t>
  </si>
  <si>
    <t xml:space="preserve">PTE Nationwide roadshow </t>
  </si>
  <si>
    <t>(50% of total RM786,236.16)</t>
  </si>
  <si>
    <t>11th April 2017</t>
  </si>
  <si>
    <t>V2017/309</t>
  </si>
  <si>
    <t>PGTEFT2220</t>
  </si>
  <si>
    <t>651 MK II SWD Teluk Bahang</t>
  </si>
  <si>
    <t>31/12/2017</t>
  </si>
  <si>
    <t>T05524</t>
  </si>
  <si>
    <t>Batik handdrawn long sleeve shirt - 9pcs</t>
  </si>
  <si>
    <t>Batik handdraw sarong kebaya - 12pcs</t>
  </si>
  <si>
    <t>3/4/2017</t>
  </si>
  <si>
    <t>V2017/324</t>
  </si>
  <si>
    <t>687928</t>
  </si>
  <si>
    <t>INV PT019/17</t>
  </si>
  <si>
    <t>Being Advertisement (Full Page) for 6 issues and ROP</t>
  </si>
  <si>
    <t>6 issues</t>
  </si>
  <si>
    <t>(50% of total RM21,200)</t>
  </si>
  <si>
    <t>12th April 2017</t>
  </si>
  <si>
    <t>V2017/333</t>
  </si>
  <si>
    <t>687932</t>
  </si>
  <si>
    <t>The Shore Shopping Gallery Sdn Bhd</t>
  </si>
  <si>
    <t xml:space="preserve">Level 3AF-18, Centre Management Office </t>
  </si>
  <si>
    <t>193, Pinggiran @ Sungai Melaka</t>
  </si>
  <si>
    <t>Jalan Persisiran Bunga Raya</t>
  </si>
  <si>
    <t>75100 Melaka</t>
  </si>
  <si>
    <t>6/4/2017</t>
  </si>
  <si>
    <t>INV170002736</t>
  </si>
  <si>
    <t xml:space="preserve">Penang Trishaw Entourage Malacca - Rental </t>
  </si>
  <si>
    <t>Security Deposit</t>
  </si>
  <si>
    <t>One Image Balloon Sdn Bhd</t>
  </si>
  <si>
    <t>Programme</t>
  </si>
  <si>
    <t>PGTEFT2271</t>
  </si>
  <si>
    <t>11th May 2017</t>
  </si>
  <si>
    <t>V2017/380</t>
  </si>
  <si>
    <t>19/4/2017</t>
  </si>
  <si>
    <t>Pro Forma Invoice</t>
  </si>
  <si>
    <t xml:space="preserve">Room voucher RM172 x 30 </t>
  </si>
  <si>
    <t>V2017/384</t>
  </si>
  <si>
    <t>149350</t>
  </si>
  <si>
    <t>MBB</t>
  </si>
  <si>
    <t xml:space="preserve">Penang Global Tourism Sdn Bhd </t>
  </si>
  <si>
    <t>CIMB Bank Bhd</t>
  </si>
  <si>
    <t>Being transfer of fund to CIMB Bank Bhd</t>
  </si>
  <si>
    <t>16th May 2017</t>
  </si>
  <si>
    <t>1/5/2017</t>
  </si>
  <si>
    <t>V2017/409</t>
  </si>
  <si>
    <t>PGTEFT2296</t>
  </si>
  <si>
    <t>18/4/2017</t>
  </si>
  <si>
    <t>C/19577</t>
  </si>
  <si>
    <t>Fridge Magnet - 3,000pcs</t>
  </si>
  <si>
    <t>Tsuyoi Connectivity Sdn Bhd</t>
  </si>
  <si>
    <t>1-1-3 &amp; 1-2-3 Tingkat Mahsuri 4</t>
  </si>
  <si>
    <t>Bayan Baru</t>
  </si>
  <si>
    <t>V2017/416</t>
  </si>
  <si>
    <t>PGTEFT2303</t>
  </si>
  <si>
    <t>M4078</t>
  </si>
  <si>
    <t xml:space="preserve">Tau Sar Pneah -  300 boxes @ RM7.80 </t>
  </si>
  <si>
    <t>V2017/385</t>
  </si>
  <si>
    <t>Shanghai Spring International Travel Service (Group) Ltd</t>
  </si>
  <si>
    <t>No,699 Zhaohua Road</t>
  </si>
  <si>
    <t>Shanghai, China</t>
  </si>
  <si>
    <t>China Tactical Campaign with Spring Tour + Sprint Airlines</t>
  </si>
  <si>
    <t>Campaign Fee</t>
  </si>
  <si>
    <t>(USD39,189.15 @ 4.3562)</t>
  </si>
  <si>
    <t>23th May 2017</t>
  </si>
  <si>
    <t>TG00529</t>
  </si>
  <si>
    <t>V2017/436</t>
  </si>
  <si>
    <t>ShenZhen Tencent Computer Systems Ltd</t>
  </si>
  <si>
    <t>Fiyta Hi-Tech Building</t>
  </si>
  <si>
    <t>Gaoxinnanyi Avenue, Southern District of Hi-tech</t>
  </si>
  <si>
    <t>Nanshan District, Shenzhen</t>
  </si>
  <si>
    <t>China Tactical Campaign</t>
  </si>
  <si>
    <t>Verification fee for WeChat China Account</t>
  </si>
  <si>
    <t>30/5/2017</t>
  </si>
  <si>
    <t>V2017/466</t>
  </si>
  <si>
    <t>6th June 2017</t>
  </si>
  <si>
    <t>27/4/2017</t>
  </si>
  <si>
    <t>5052031348</t>
  </si>
  <si>
    <t>Exhibiting Delegate</t>
  </si>
  <si>
    <t>(USD3,600 @ 4.33800)</t>
  </si>
  <si>
    <t>V2017/520</t>
  </si>
  <si>
    <t>9th June 2017</t>
  </si>
  <si>
    <t>7/4/2017</t>
  </si>
  <si>
    <t>ITE17-210</t>
  </si>
  <si>
    <t>ITE booth 36sqm (USD17,028 x 4.3113)</t>
  </si>
  <si>
    <t>Penang Tram Launching in Hong Kong</t>
  </si>
  <si>
    <t>UM-2017/00000339</t>
  </si>
  <si>
    <t>Rental of Party Tram x 2 (SGD4,316.54 @ 3.1221)</t>
  </si>
  <si>
    <t>Production cost (SGD1,402.88 @ 3.1221)</t>
  </si>
  <si>
    <t>V2017/529</t>
  </si>
  <si>
    <t>PGTEFT2376</t>
  </si>
  <si>
    <t>20th June 2017</t>
  </si>
  <si>
    <t xml:space="preserve">Advances of </t>
  </si>
  <si>
    <t xml:space="preserve">Penang Anime Matsuri 2017 </t>
  </si>
  <si>
    <t>19.6.2917</t>
  </si>
  <si>
    <t xml:space="preserve"> - Immigration sticker passes for 11 artists</t>
  </si>
  <si>
    <t>29th June 2017</t>
  </si>
  <si>
    <t>V2017/568</t>
  </si>
  <si>
    <t>687974</t>
  </si>
  <si>
    <t>1/6/2017</t>
  </si>
  <si>
    <t>RMD17/10088</t>
  </si>
  <si>
    <t>(June/July 2017)</t>
  </si>
  <si>
    <t>(October/November 2017)</t>
  </si>
  <si>
    <t>(December/January 2018)</t>
  </si>
  <si>
    <t>29/6/2017</t>
  </si>
  <si>
    <t>12th July 2017</t>
  </si>
  <si>
    <t>5/7/2017</t>
  </si>
  <si>
    <t>V2017/599</t>
  </si>
  <si>
    <t>PGTEFT2436</t>
  </si>
  <si>
    <t>TM KTX Magazine FAM Tour Progamme on 9-11th June 2017</t>
  </si>
  <si>
    <t>1700608</t>
  </si>
  <si>
    <t>(3 days)</t>
  </si>
  <si>
    <t>13th July 2017</t>
  </si>
  <si>
    <t>V2017/615</t>
  </si>
  <si>
    <t>30/06/2017</t>
  </si>
  <si>
    <t>WDF0717/041</t>
  </si>
  <si>
    <t>Entrance ticket (21pcs) - 6/6/2017</t>
  </si>
  <si>
    <t>Entrance ticket (19pcs) - 7/6/2017</t>
  </si>
  <si>
    <t>Entrance ticket (21pcs) - 12/6/2017</t>
  </si>
  <si>
    <t>Entrance ticket (17pcs) - 16/6/2017</t>
  </si>
  <si>
    <t>Entrance ticket (16pcs) - 20/6/2017</t>
  </si>
  <si>
    <t>Entrance ticket (15pcs) - 28/6/2017</t>
  </si>
  <si>
    <t>Entrance ticket (34pcs) - 24/6/2017</t>
  </si>
  <si>
    <t>Entrance ticket (33pcs) - 18/6/2017</t>
  </si>
  <si>
    <t>Entrance ticket (19pcs) - 28/6/2017</t>
  </si>
  <si>
    <t>Entrance ticket (16pcs) - 28/6/2017</t>
  </si>
  <si>
    <t>24th July 2017</t>
  </si>
  <si>
    <t>V2017/643</t>
  </si>
  <si>
    <t>687992</t>
  </si>
  <si>
    <t>Trinity Diligent Sdn Bhd</t>
  </si>
  <si>
    <t>Tel: 03-7495 1221</t>
  </si>
  <si>
    <t>Fax : 03 - 7495 1223</t>
  </si>
  <si>
    <t>Publicity - Heritage Celebration</t>
  </si>
  <si>
    <t>INV-170046</t>
  </si>
  <si>
    <t>Online Ads (2 weeks) &amp; Print Ads for (1 insertion)</t>
  </si>
  <si>
    <t>Translation &amp; Editing fee</t>
  </si>
  <si>
    <t>The Spring Management Services Sdn Bhd</t>
  </si>
  <si>
    <t>Lot 304, 3rd Floor, The Spring Shopping Mall</t>
  </si>
  <si>
    <t>Persiaran Spring, 93300 Kuching</t>
  </si>
  <si>
    <t>Tel : 082 238 111</t>
  </si>
  <si>
    <t>Fax : 082 233 519</t>
  </si>
  <si>
    <t>Publicity - Trishaw Entourage (Sarawak)</t>
  </si>
  <si>
    <t>25th Jul 2017</t>
  </si>
  <si>
    <t>V2017/648</t>
  </si>
  <si>
    <t>Finance Division</t>
  </si>
  <si>
    <t>Airmail Transit Centre</t>
  </si>
  <si>
    <t>P.O. Box 501</t>
  </si>
  <si>
    <t>Tactical Campaign - United Kingdom</t>
  </si>
  <si>
    <t>1803438004</t>
  </si>
  <si>
    <t>Marketing Collaboration with Singapore Airlines &amp; Travelbag</t>
  </si>
  <si>
    <t xml:space="preserve">United Kingdom </t>
  </si>
  <si>
    <t>(SGD 16,746.72 @ 3.1817)</t>
  </si>
  <si>
    <t>4th Aug 2017</t>
  </si>
  <si>
    <t>V2017/688</t>
  </si>
  <si>
    <t>PGTEFT2495</t>
  </si>
  <si>
    <t>12/7/2017</t>
  </si>
  <si>
    <t>INV4704</t>
  </si>
  <si>
    <t>PTE Sarawak - Rental of Ads Panel (1st Aug - 30th Sep)</t>
  </si>
  <si>
    <t>INV4710</t>
  </si>
  <si>
    <t>PTE Sarawak - Rental of Ads Panel (1st Nov-30th Nov)</t>
  </si>
  <si>
    <t>(30% of total RM786,236.16)</t>
  </si>
  <si>
    <t>INV 9793</t>
  </si>
  <si>
    <t>PTE Nationwide roadshow (2nd payment)</t>
  </si>
  <si>
    <t>Rounding Adj</t>
  </si>
  <si>
    <t>10% Service Charge</t>
  </si>
  <si>
    <t>Being 3 months website maintenance from July-Sept</t>
  </si>
  <si>
    <t xml:space="preserve">Being 3 months Vietnamese language website maintenance </t>
  </si>
  <si>
    <t>from July-Sept</t>
  </si>
  <si>
    <t xml:space="preserve">Booth design &amp; fabrication for ITM HCM </t>
  </si>
  <si>
    <t xml:space="preserve"> - Flooring, set and prodcution, graphics, loose</t>
  </si>
  <si>
    <t>furniture, electrical, av rental, miscellaneous</t>
  </si>
  <si>
    <t>flight and accommodations and design visual and</t>
  </si>
  <si>
    <t>production</t>
  </si>
  <si>
    <t>(Details refer to Quo # KSY/105-R2/0606)</t>
  </si>
  <si>
    <t xml:space="preserve"> - Design &amp; Conceptualisation</t>
  </si>
  <si>
    <t>16/08/2017</t>
  </si>
  <si>
    <t>INV17-045</t>
  </si>
  <si>
    <t>Penang Street Food Festival</t>
  </si>
  <si>
    <t>(By Hotel Fee)</t>
  </si>
  <si>
    <t>30th Aug 2017</t>
  </si>
  <si>
    <t xml:space="preserve">Being 70% of total RM296,800 for PSFF </t>
  </si>
  <si>
    <t>24/8/2017</t>
  </si>
  <si>
    <t>V2017/788</t>
  </si>
  <si>
    <t>PGTEFT2574</t>
  </si>
  <si>
    <t>Teddyville Museum Sdn Bhd</t>
  </si>
  <si>
    <t>56, Jalan Low Yat</t>
  </si>
  <si>
    <t>Batu Ferringhi</t>
  </si>
  <si>
    <t>Tel : 04-890 5345</t>
  </si>
  <si>
    <t>TVM/7/12001</t>
  </si>
  <si>
    <t>Entrance Ticket RM14.15 x 139 tickets</t>
  </si>
  <si>
    <t>22/8/2017</t>
  </si>
  <si>
    <t>19/8/2017</t>
  </si>
  <si>
    <t xml:space="preserve"> - Sim Card</t>
  </si>
  <si>
    <t>V2017/773A</t>
  </si>
  <si>
    <t>28th Aug 2017</t>
  </si>
  <si>
    <t>Trailfinders Ltd</t>
  </si>
  <si>
    <t>23, Abingdon Road</t>
  </si>
  <si>
    <t>London</t>
  </si>
  <si>
    <t>W8 6AH</t>
  </si>
  <si>
    <t>008749</t>
  </si>
  <si>
    <t>Marketing campaign with Malaysia Airlines UK &amp;</t>
  </si>
  <si>
    <t>Trailfinders</t>
  </si>
  <si>
    <t>(GBP 10,000 @ 5.5593)</t>
  </si>
  <si>
    <t>13th Sept 2017</t>
  </si>
  <si>
    <t>Jata Tourism Expo Japan</t>
  </si>
  <si>
    <t>V2017/811</t>
  </si>
  <si>
    <t>PGTEFT2592</t>
  </si>
  <si>
    <t>V2017/813</t>
  </si>
  <si>
    <t>PGTEFT2594</t>
  </si>
  <si>
    <t>T05769</t>
  </si>
  <si>
    <t>Batik Uniform for Amos Teoh (UTAR)</t>
  </si>
  <si>
    <t>V2017/817</t>
  </si>
  <si>
    <t>PGTEFT2598</t>
  </si>
  <si>
    <t>Supersonic One Stop Print</t>
  </si>
  <si>
    <t>No,67, Petani Road</t>
  </si>
  <si>
    <t>10150 George Town</t>
  </si>
  <si>
    <t>Tel : 04-229 1223</t>
  </si>
  <si>
    <t>Fax : 04-229 3015</t>
  </si>
  <si>
    <t>00192476</t>
  </si>
  <si>
    <t xml:space="preserve">PIEF Backdrop </t>
  </si>
  <si>
    <t>00192714</t>
  </si>
  <si>
    <t>PIEF Booklet - 170copies</t>
  </si>
  <si>
    <t>15th Sept 2017</t>
  </si>
  <si>
    <t>V2017/828</t>
  </si>
  <si>
    <t>15/8/2017</t>
  </si>
  <si>
    <t>2017Q1889</t>
  </si>
  <si>
    <t xml:space="preserve"> - English to Simplified Chinese</t>
  </si>
  <si>
    <t xml:space="preserve"> - Deliver as bilingual word doc</t>
  </si>
  <si>
    <t xml:space="preserve"> - Processing fee</t>
  </si>
  <si>
    <t>28th Sept 2017</t>
  </si>
  <si>
    <t>V2017/860</t>
  </si>
  <si>
    <t>PGTEFT2629</t>
  </si>
  <si>
    <t>Sim Chew Teik Bus &amp; Tours Service</t>
  </si>
  <si>
    <t xml:space="preserve">16-10-7 Azuria Apartment </t>
  </si>
  <si>
    <t>Jalan Lembah Permai</t>
  </si>
  <si>
    <t>Tel : 014 - 402 5145</t>
  </si>
  <si>
    <t>C138/0186</t>
  </si>
  <si>
    <t>Transportation hire for PIEF on 24/8 &amp; 27/8</t>
  </si>
  <si>
    <t xml:space="preserve">Trade Booklet </t>
  </si>
  <si>
    <t>19/9/2017</t>
  </si>
  <si>
    <t>INV17-051</t>
  </si>
  <si>
    <t xml:space="preserve">Being balance 30% of total RM296,800 for PSFF </t>
  </si>
  <si>
    <t>INV17-046</t>
  </si>
  <si>
    <t>Performance by Avery Chin &amp; Slyvia Lim during PSFF</t>
  </si>
  <si>
    <t>(Guiness Book Record)</t>
  </si>
  <si>
    <t>Teoh Huooi Hong (I/C : 511119-07-5249)</t>
  </si>
  <si>
    <t>6th Oct 2017</t>
  </si>
  <si>
    <t xml:space="preserve">Group Hospital &amp; Surgical - Nur Nasyha Izzaty &amp; </t>
  </si>
  <si>
    <t xml:space="preserve">Chun How </t>
  </si>
  <si>
    <t>Group Term Life - Ng Chun How</t>
  </si>
  <si>
    <t>Group Term Life - Nur Nashya Izzaty</t>
  </si>
  <si>
    <t>(-) Deduct</t>
  </si>
  <si>
    <t xml:space="preserve">Refund GHS premium for staff deletion - Sim Kok Jiun </t>
  </si>
  <si>
    <t>Refund GTL premium for staff deletion - Sim Kok Jiun</t>
  </si>
  <si>
    <t>Teoh Lay Pheng</t>
  </si>
  <si>
    <t>I/C : 720512-07-5766</t>
  </si>
  <si>
    <t>V2017/901</t>
  </si>
  <si>
    <t>688049</t>
  </si>
  <si>
    <t>28/9/2017</t>
  </si>
  <si>
    <t>R0965</t>
  </si>
  <si>
    <t>Being exhibition fee at Ho Chi Minh on</t>
  </si>
  <si>
    <t>28th-30th Sept 2017</t>
  </si>
  <si>
    <t>Perk Idea Sdn Bhd</t>
  </si>
  <si>
    <t>NO.18C, Jalan KIP 1, Kawasan Perindustrian Kepong</t>
  </si>
  <si>
    <t>Tel : 03-6730 4900</t>
  </si>
  <si>
    <t>Fax : 03-6262 2917</t>
  </si>
  <si>
    <t>(30% of total RM60,260)</t>
  </si>
  <si>
    <t xml:space="preserve">Being 70% of payment for event services (launching) </t>
  </si>
  <si>
    <t>during ITE HCM</t>
  </si>
  <si>
    <t>Being 30% of balance payment for event services</t>
  </si>
  <si>
    <t>(launching) during ITE HCM</t>
  </si>
  <si>
    <t xml:space="preserve">Being additional charges for custom clearance </t>
  </si>
  <si>
    <t>in Vietnam</t>
  </si>
  <si>
    <t>Import tax paid to TNT Vietnam</t>
  </si>
  <si>
    <t>Emcee services during launching</t>
  </si>
  <si>
    <t>PTE Nationwide roadshow (3rd payment)</t>
  </si>
  <si>
    <t>PTE Sabah event services for closing ceremony</t>
  </si>
  <si>
    <t>PTE Sarawah event services for launching ceremony</t>
  </si>
  <si>
    <t>Photographer &amp; Videographer for event at 5 locations</t>
  </si>
  <si>
    <t>(30% of total RM19,080)</t>
  </si>
  <si>
    <t>…….conts</t>
  </si>
  <si>
    <t>(-) Withholding Tax for Technical Fees</t>
  </si>
  <si>
    <t>23th Oct 2017</t>
  </si>
  <si>
    <t>17/4/2017</t>
  </si>
  <si>
    <t>SN/NC/17/0158</t>
  </si>
  <si>
    <t>Being 2nd quarter website maintenance for 2017(Apr-Jun)</t>
  </si>
  <si>
    <t>3/10/2017</t>
  </si>
  <si>
    <t>SN/NC/17/0361</t>
  </si>
  <si>
    <t>Being 3 months website maintenance from Oct-Dec</t>
  </si>
  <si>
    <t xml:space="preserve">Being 3 months Vietnamese website maintenance from </t>
  </si>
  <si>
    <t>Oct-Dec</t>
  </si>
  <si>
    <t>SN/NC/17/0362</t>
  </si>
  <si>
    <t>V2017/958</t>
  </si>
  <si>
    <t>PGTEFT2705</t>
  </si>
  <si>
    <t>17080286</t>
  </si>
  <si>
    <t>New Trade Booklet - Vietnamese Language (2,000copies)</t>
  </si>
  <si>
    <t>Destination Seminar Taipei 2017</t>
  </si>
  <si>
    <t>2nd Nov 2017</t>
  </si>
  <si>
    <t>Publicity - 10 days 3 festivals</t>
  </si>
  <si>
    <t>25/10/2017</t>
  </si>
  <si>
    <t>Photography service from July - Sept</t>
  </si>
  <si>
    <t>26/9/2017</t>
  </si>
  <si>
    <t>V2017/1015</t>
  </si>
  <si>
    <t>PGTEFT2745</t>
  </si>
  <si>
    <t>Yee Oi Leng</t>
  </si>
  <si>
    <t>00010</t>
  </si>
  <si>
    <t>Writing fee for web articles in Malaysian Insider</t>
  </si>
  <si>
    <t>on GTLF</t>
  </si>
  <si>
    <t>24th Oct 2017</t>
  </si>
  <si>
    <t>V2017/968</t>
  </si>
  <si>
    <t>ITB Asia in Singapore</t>
  </si>
  <si>
    <t>5/10/2017</t>
  </si>
  <si>
    <t>ITB/17/090/R1</t>
  </si>
  <si>
    <t>13AMP/220V single phase power point - 9 units</t>
  </si>
  <si>
    <t>100w Lighting Connection - 10pcs</t>
  </si>
  <si>
    <t>300w Lighting Connection - 4pcs</t>
  </si>
  <si>
    <t xml:space="preserve">Air Space Charges </t>
  </si>
  <si>
    <t>100w Lighting Connection - 8pcs with surcharge</t>
  </si>
  <si>
    <t>(SGD11,902 @ RM3.5040)</t>
  </si>
  <si>
    <t>25th Oct 2017</t>
  </si>
  <si>
    <t>V2017/970</t>
  </si>
  <si>
    <t>TravelCube Pacific Pty Ltd</t>
  </si>
  <si>
    <t xml:space="preserve">Level 1, 655 Pacific Highway </t>
  </si>
  <si>
    <t>St Leonards</t>
  </si>
  <si>
    <t>NSW 2065</t>
  </si>
  <si>
    <t>Australia</t>
  </si>
  <si>
    <t>AOS010717</t>
  </si>
  <si>
    <t xml:space="preserve">Marketing activity on Travel Cube retail site </t>
  </si>
  <si>
    <t>(AUD10,000 @ 3.3142)</t>
  </si>
  <si>
    <t>Pricewaterhouse Coopers Taxation Services Sdn Bhd</t>
  </si>
  <si>
    <t>16th Floor, Bangunan KWSP</t>
  </si>
  <si>
    <t>Tel : 04-239 9288</t>
  </si>
  <si>
    <t>V2017/1022</t>
  </si>
  <si>
    <t>PGTEFT2749</t>
  </si>
  <si>
    <t>13th Nov 2017</t>
  </si>
  <si>
    <t>6/11/2017</t>
  </si>
  <si>
    <t>PEN37280565</t>
  </si>
  <si>
    <t>PwC Seminar Registration Fee - Seow Ai See</t>
  </si>
  <si>
    <t xml:space="preserve">Budget 2018 </t>
  </si>
  <si>
    <t>Yong Suh Yen</t>
  </si>
  <si>
    <t>I/C : 641202-07-5538</t>
  </si>
  <si>
    <t xml:space="preserve"> - Meal allowance</t>
  </si>
  <si>
    <t>30th Nov 2017</t>
  </si>
  <si>
    <t>V2017/1057</t>
  </si>
  <si>
    <t>PGTEFT2774</t>
  </si>
  <si>
    <t>World Magazine Visiting Journalist to Penang</t>
  </si>
  <si>
    <t>on 27th Oct to 5th Nov 2017</t>
  </si>
  <si>
    <t>5/11/2017</t>
  </si>
  <si>
    <t>193835</t>
  </si>
  <si>
    <t>Hotel accommodation RM860 x 2 nights</t>
  </si>
  <si>
    <t>Tourism Tax</t>
  </si>
  <si>
    <t>Local Gov Tax</t>
  </si>
  <si>
    <t>5th Dec 2017</t>
  </si>
  <si>
    <t>V2017/1074</t>
  </si>
  <si>
    <t>PGTEFT2785</t>
  </si>
  <si>
    <t>Traverse Tours Sdn Bhd</t>
  </si>
  <si>
    <t>Lot 227-229, 2nd Floor, Wisma Sabah</t>
  </si>
  <si>
    <t xml:space="preserve">Jalan Tun Fuad Stephen </t>
  </si>
  <si>
    <t>88000 Kota Kinabalu, Sabah</t>
  </si>
  <si>
    <t>Tel : 088 260501</t>
  </si>
  <si>
    <t>Fax : 088 261503</t>
  </si>
  <si>
    <t>Team Building</t>
  </si>
  <si>
    <t>9/12/2017</t>
  </si>
  <si>
    <t>IT-000782</t>
  </si>
  <si>
    <t xml:space="preserve">Kampar White Water Rafting </t>
  </si>
  <si>
    <t>Rickveen Singh A/L Harbindar Singh</t>
  </si>
  <si>
    <t>Tel : 018-460 5571</t>
  </si>
  <si>
    <t>15h Dec 2017</t>
  </si>
  <si>
    <t>Ong Yen Meng</t>
  </si>
  <si>
    <t>I/C: 680725-02-5865</t>
  </si>
  <si>
    <t xml:space="preserve">Tour Guide </t>
  </si>
  <si>
    <t>V2017/1113</t>
  </si>
  <si>
    <t>PGTEFT2819</t>
  </si>
  <si>
    <t>2/11/2017</t>
  </si>
  <si>
    <t>The Legend Nyonya House Sdn Bhd</t>
  </si>
  <si>
    <t>2, Chulia Street Ghaut</t>
  </si>
  <si>
    <t>Tel : 04-251 9598</t>
  </si>
  <si>
    <t>Miss Sophia Shopping Hunt on 5th - 7th Nov 2017</t>
  </si>
  <si>
    <t>Dinner hosting on 7/11/2017</t>
  </si>
  <si>
    <t>20th Dec 2017</t>
  </si>
  <si>
    <t>7/11/2017</t>
  </si>
  <si>
    <t>14/12/2017</t>
  </si>
  <si>
    <t>V2017/1132</t>
  </si>
  <si>
    <t>PGTEFT2838</t>
  </si>
  <si>
    <t>10038220</t>
  </si>
  <si>
    <t>Billing Period : 07/10/2016-06/11/2017</t>
  </si>
  <si>
    <t>10035873</t>
  </si>
  <si>
    <t>27th Dec 2017</t>
  </si>
  <si>
    <t>V2017/1168</t>
  </si>
  <si>
    <t>PGTEFT2862</t>
  </si>
  <si>
    <t>028231INV</t>
  </si>
  <si>
    <t>Plaque with engrave for Dr. Mary Ann</t>
  </si>
  <si>
    <t>1/12/2017</t>
  </si>
  <si>
    <t>21/12/2017</t>
  </si>
  <si>
    <t>Tan Seang Aun</t>
  </si>
  <si>
    <t>I/C : 631019-07-5741</t>
  </si>
  <si>
    <t>38, Lintang Mas</t>
  </si>
  <si>
    <t>Jalan Masjid Negeri</t>
  </si>
  <si>
    <t>V2017/1174</t>
  </si>
  <si>
    <t>PGTEFT2868</t>
  </si>
  <si>
    <t>Photography service from Oct - Dec</t>
  </si>
  <si>
    <t>10th Jan2018</t>
  </si>
  <si>
    <t>V2018/029</t>
  </si>
  <si>
    <t>PGTEFT2900</t>
  </si>
  <si>
    <t>PCEB/2017/03</t>
  </si>
  <si>
    <t>Publicity - Geroge Town Literary Festival</t>
  </si>
  <si>
    <t>Being Ads for Series of Article on GTLF</t>
  </si>
  <si>
    <t xml:space="preserve">Being Domain &amp; Hosting Renewal </t>
  </si>
  <si>
    <t>(Period : 31st Dec 2017 - 30th Dec 2018)</t>
  </si>
  <si>
    <t>Hot Air Balloon</t>
  </si>
  <si>
    <t>V2018/034</t>
  </si>
  <si>
    <t>PGTEFT2905</t>
  </si>
  <si>
    <t>30/11/2017</t>
  </si>
  <si>
    <t>INE51015</t>
  </si>
  <si>
    <t>To provide labour &amp; material to chemical cleaning stall</t>
  </si>
  <si>
    <t>Rapid CAT Bus Wrap - Production cost</t>
  </si>
  <si>
    <t>Rapid Bus Wrap (Airport &amp; S.Jaya) - Production cost - 4 buses</t>
  </si>
  <si>
    <t>Rapid Bus Wrap (Airport &amp; S.Jaya) - Rental - 4 buses</t>
  </si>
  <si>
    <t>4/1/2018</t>
  </si>
  <si>
    <t>18th Jan 2017</t>
  </si>
  <si>
    <t>V2018/057</t>
  </si>
  <si>
    <t>Tactical Campaign - Singapore</t>
  </si>
  <si>
    <t>20/12/2017</t>
  </si>
  <si>
    <t>197500236D</t>
  </si>
  <si>
    <t>Digital Campaign with SilkAir Singapore</t>
  </si>
  <si>
    <t>(SGD9,009.11 x 3.0249)</t>
  </si>
  <si>
    <t>Brochure distribution for the month of Jan</t>
  </si>
  <si>
    <t>Guide fee on 20/1/2018</t>
  </si>
  <si>
    <t>To supply &amp; install 1pc sign for small cube @ TIC</t>
  </si>
  <si>
    <t xml:space="preserve">Being ads placement on Penang Monthly </t>
  </si>
  <si>
    <t>Guide fee on 3/1/2018 - 2 hours</t>
  </si>
  <si>
    <t>Guide fee on 18/1/2018 - 2 hours</t>
  </si>
  <si>
    <t>Guide fee on 20/1/2018 - 2 hours</t>
  </si>
  <si>
    <t>Guide fee on 30/1/2018 - 2 hours</t>
  </si>
  <si>
    <t>13th Feb 2018</t>
  </si>
  <si>
    <t>5/2/2018</t>
  </si>
  <si>
    <t>1/2/2018</t>
  </si>
  <si>
    <t>V2018/137</t>
  </si>
  <si>
    <t>PGTEFT2973</t>
  </si>
  <si>
    <t>INV 310828</t>
  </si>
  <si>
    <t>Internet charges for PGT for the month of Feb</t>
  </si>
  <si>
    <t>Guide fee on 27/1/2018</t>
  </si>
  <si>
    <t>29/2/2018</t>
  </si>
  <si>
    <t>2nd/Jan/18</t>
  </si>
  <si>
    <t>Guide fee on 27/1/2018 - 2 hours</t>
  </si>
  <si>
    <t>1st/Jan/18</t>
  </si>
  <si>
    <t>Pinang Canvas Exhibition</t>
  </si>
  <si>
    <t>22-14-28, Eastern Court</t>
  </si>
  <si>
    <t>Lorong Hijau Lapan</t>
  </si>
  <si>
    <t>V2018/156</t>
  </si>
  <si>
    <t>688117</t>
  </si>
  <si>
    <t>1800004582</t>
  </si>
  <si>
    <t>Free shuttle service on 24 &amp; 25th Feb - 7 buses</t>
  </si>
  <si>
    <t xml:space="preserve">Booth Design &amp; Construction </t>
  </si>
  <si>
    <t>22th Feb 2018</t>
  </si>
  <si>
    <t>V2018/159</t>
  </si>
  <si>
    <t>12th Feb 2018</t>
  </si>
  <si>
    <t>Sarl Cleverdis</t>
  </si>
  <si>
    <t>Relais du Griffon</t>
  </si>
  <si>
    <t>439 route de la Seds</t>
  </si>
  <si>
    <t>13127 Vitrolles - Frances</t>
  </si>
  <si>
    <t>ITB Berlin , Germany</t>
  </si>
  <si>
    <t>11/1/2018</t>
  </si>
  <si>
    <t>FA3450</t>
  </si>
  <si>
    <t>ITB Berlin 2018 News Full Page Advertisement in Day 2</t>
  </si>
  <si>
    <t>ITB Berlin 2019 News Full Page Advertisement in Day 1</t>
  </si>
  <si>
    <t>Pinnacle Nexus Sdn Bhd</t>
  </si>
  <si>
    <t>Double Tree by Hilton Penang</t>
  </si>
  <si>
    <t>11100 Batu Ferringhi Penang</t>
  </si>
  <si>
    <t>Tel : 04-892 8900</t>
  </si>
  <si>
    <t>Fax : 04-892 8033</t>
  </si>
  <si>
    <t>Being service rendered to PCET for Feb 2018</t>
  </si>
  <si>
    <t>Being service rendered to PMED for Feb 2018</t>
  </si>
  <si>
    <t>28th Feb 2018</t>
  </si>
  <si>
    <t>V2018/203</t>
  </si>
  <si>
    <t>PGTEFT3011</t>
  </si>
  <si>
    <t>V2018/205</t>
  </si>
  <si>
    <t>688155</t>
  </si>
  <si>
    <t>5th March 2018</t>
  </si>
  <si>
    <t>RELA/BLC 0025</t>
  </si>
  <si>
    <t>Rela duty on 22/2 - 25/2/18 - Gas Lorry Area</t>
  </si>
  <si>
    <t>Rela duty on 22/2 - 22/2-25/2/18 - Playground</t>
  </si>
  <si>
    <t>Rela duty on 24/2 - 25/2/18 - Take care of goods</t>
  </si>
  <si>
    <t>Rela duty on 24/2 - 25/2/18 - Balloon area (Padang Polo)</t>
  </si>
  <si>
    <t xml:space="preserve">Rela duty on 21/2-25/2/18 - S.M. Padang Polo </t>
  </si>
  <si>
    <t>Rela duty on 24/2 - 25/2/18 - Ticketing couter</t>
  </si>
  <si>
    <t>Rela duty on 24/2 - 25/2/18 - Patrol at Playground Area</t>
  </si>
  <si>
    <t>Rela duty on 24/2 - 25/2/18 - Patrol whole padang polo</t>
  </si>
  <si>
    <t>Rela duty on 24/2 - 25/2/18 - Entrace</t>
  </si>
  <si>
    <t xml:space="preserve">Rela duty on 24/2 - 25/2/18 - Parking </t>
  </si>
  <si>
    <t>Rela duty on 24/2 - 25/2/18 - Assist Police &amp; Enforcement</t>
  </si>
  <si>
    <t xml:space="preserve">Rela duty on 24/2 - 25/2/18 - Patrol </t>
  </si>
  <si>
    <t>28/2/2018</t>
  </si>
  <si>
    <t>V2018/197</t>
  </si>
  <si>
    <t>PGTEFT3009</t>
  </si>
  <si>
    <t>26/2/2018</t>
  </si>
  <si>
    <t>1/2/2018 - 28/2/2018</t>
  </si>
  <si>
    <t>V2018/174</t>
  </si>
  <si>
    <t>29/1/2018</t>
  </si>
  <si>
    <t>IV21800367</t>
  </si>
  <si>
    <t>Grand City Surabaya</t>
  </si>
  <si>
    <t>JL Gubeng Pojok No,1</t>
  </si>
  <si>
    <t>Surabaya 60272</t>
  </si>
  <si>
    <t>Campaign cost for " Fly me to Penang" on 29/1-1/5/18</t>
  </si>
  <si>
    <t>Tactical Campaign - Indonesia</t>
  </si>
  <si>
    <t>23/2/2018</t>
  </si>
  <si>
    <t>INV 0449</t>
  </si>
  <si>
    <t>Domain Registration per annum</t>
  </si>
  <si>
    <t>www.studypenang.gov.my</t>
  </si>
  <si>
    <t>14A, Stewart Lane</t>
  </si>
  <si>
    <t xml:space="preserve">10200 George Town </t>
  </si>
  <si>
    <t>Tel : 04-264 2333</t>
  </si>
  <si>
    <t>14th Mar 2018</t>
  </si>
  <si>
    <t>V2018/233</t>
  </si>
  <si>
    <t>688161</t>
  </si>
  <si>
    <t>Super Sparks Special Effects</t>
  </si>
  <si>
    <t>No.7 Jalan Rasmi 7</t>
  </si>
  <si>
    <t>Tel  03-42514370</t>
  </si>
  <si>
    <t>018/109</t>
  </si>
  <si>
    <t>Fireworks 3 minutes on 24/2/2018</t>
  </si>
  <si>
    <t>15th Mar 2018</t>
  </si>
  <si>
    <t>13/3/2018</t>
  </si>
  <si>
    <t>12/3/2018</t>
  </si>
  <si>
    <t>V2018/253</t>
  </si>
  <si>
    <t>PGTEFT3055</t>
  </si>
  <si>
    <t>Pasukan Sukarelawan Malaysia (RELA)</t>
  </si>
  <si>
    <t>D/A Tingkat 5, Bangunan Tuanku Syed Putra</t>
  </si>
  <si>
    <t>10300 Le</t>
  </si>
  <si>
    <t>JSM/KMR 019/2018</t>
  </si>
  <si>
    <t>Rela Allowance on 13/3/2018 - morning session</t>
  </si>
  <si>
    <t>Rela Allowance on 13/3/2018 - noon session</t>
  </si>
  <si>
    <t xml:space="preserve">Being half year website maintenance for PCET </t>
  </si>
  <si>
    <t>(Period : Jan - Jun 2018)</t>
  </si>
  <si>
    <t>Being website maintenance for PMED</t>
  </si>
  <si>
    <t>V2018/264</t>
  </si>
  <si>
    <t>PGTEFT3066</t>
  </si>
  <si>
    <t>Qatar Airways</t>
  </si>
  <si>
    <t>Penang State Govt Trade Investment Missions to Qatar</t>
  </si>
  <si>
    <t>Air Fare - OCY</t>
  </si>
  <si>
    <t>21st Mar 2018</t>
  </si>
  <si>
    <t>V2018/275</t>
  </si>
  <si>
    <t>688172</t>
  </si>
  <si>
    <t>Syarikat Takaful Malaysia Berhad</t>
  </si>
  <si>
    <t>26th Floor, Annexe Block, Menara Takaful Malaysia</t>
  </si>
  <si>
    <t>No.4, Jalan Sulaiman</t>
  </si>
  <si>
    <t>50000 Kuala Lumpur</t>
  </si>
  <si>
    <t>Insurance</t>
  </si>
  <si>
    <t>25/1/2018</t>
  </si>
  <si>
    <t>02226383</t>
  </si>
  <si>
    <t>Period : 1/1/2018 - 31/12/2018</t>
  </si>
  <si>
    <t>Group Term Life - 20pax</t>
  </si>
  <si>
    <t>29th Mar 2018</t>
  </si>
  <si>
    <t>V2018/293</t>
  </si>
  <si>
    <t>PGTEFT3075</t>
  </si>
  <si>
    <t>IV-00001/18</t>
  </si>
  <si>
    <t>AirAsia Indonesia Entrance Ticket RM20 x 41pax</t>
  </si>
  <si>
    <t>V2018/295</t>
  </si>
  <si>
    <t>PGTEFT3077</t>
  </si>
  <si>
    <t>97-02-03A, Prima Tanjung Business Center</t>
  </si>
  <si>
    <t>Tanjong Tokong</t>
  </si>
  <si>
    <t>Publicity - Penang Yosakoi Parade</t>
  </si>
  <si>
    <t>PYP18-INV1</t>
  </si>
  <si>
    <t>Distribution of Yosakoi Flyers to 6 locations</t>
  </si>
  <si>
    <t>Being service rendered to PCET for Mar 2018</t>
  </si>
  <si>
    <t>Being service rendered to PMED for Mar 2018</t>
  </si>
  <si>
    <t>3rd April 2018</t>
  </si>
  <si>
    <t>28/3/2018</t>
  </si>
  <si>
    <t>V2018/325</t>
  </si>
  <si>
    <t>PGTEFT3103</t>
  </si>
  <si>
    <t>1/3/2018 - 6/3/2018</t>
  </si>
  <si>
    <t>Brochure distribution for the month of March</t>
  </si>
  <si>
    <t>V2018/326</t>
  </si>
  <si>
    <t>PGTEFT3104</t>
  </si>
  <si>
    <t>SQ Singapore, STB &amp; RCL Cruise FAM on 3th Apr 2018</t>
  </si>
  <si>
    <t>High Tea on 3/4/2018 (22 pax)</t>
  </si>
  <si>
    <t>Office Stationery</t>
  </si>
  <si>
    <t>28th Mar 2018</t>
  </si>
  <si>
    <t>Spafax Airline Network (Singapore) Pte Ltd</t>
  </si>
  <si>
    <t>50 Scotts Road</t>
  </si>
  <si>
    <t>#04-01 Singapore 228242</t>
  </si>
  <si>
    <t>V2018/285</t>
  </si>
  <si>
    <t>Philippines AirAsia Inc</t>
  </si>
  <si>
    <t>Unit 1 Building Salem Complex</t>
  </si>
  <si>
    <t>Demestic Road</t>
  </si>
  <si>
    <t xml:space="preserve">Pasay City </t>
  </si>
  <si>
    <t>1301 Philippines</t>
  </si>
  <si>
    <t>ZESCIN-1342</t>
  </si>
  <si>
    <t xml:space="preserve">Digital Content Marketing with AirAsia Philippines </t>
  </si>
  <si>
    <t>(USD 11,000 @ 3.9033)</t>
  </si>
  <si>
    <t>11th April 2018</t>
  </si>
  <si>
    <t>1/4/2018</t>
  </si>
  <si>
    <t>INV18-016</t>
  </si>
  <si>
    <t xml:space="preserve">Third payment for PIFF </t>
  </si>
  <si>
    <t>V2018/347</t>
  </si>
  <si>
    <t>PGTEFT3120</t>
  </si>
  <si>
    <t>Penang Fair @ HCM (PGT Expenses)</t>
  </si>
  <si>
    <t>31/3/2018</t>
  </si>
  <si>
    <t>00004117</t>
  </si>
  <si>
    <t>Metalic balloon with printed - 2,000pcs</t>
  </si>
  <si>
    <t>4/4/2018</t>
  </si>
  <si>
    <t>Penang Fair @ HCM</t>
  </si>
  <si>
    <t>Arabian Travel Mart Dubai</t>
  </si>
  <si>
    <t xml:space="preserve"> - Tourism Fee</t>
  </si>
  <si>
    <t>Nhan Doanh Communications Company Limited</t>
  </si>
  <si>
    <t>54-56, Hao Dao Street</t>
  </si>
  <si>
    <t>Phu Nhuan District</t>
  </si>
  <si>
    <t>Ho Chi Minh City, Vietnam</t>
  </si>
  <si>
    <t>(Under PGT's cost)</t>
  </si>
  <si>
    <t>V2018/380</t>
  </si>
  <si>
    <t>25th Apr 2018</t>
  </si>
  <si>
    <t>INTD_300</t>
  </si>
  <si>
    <t>Four International 03/18</t>
  </si>
  <si>
    <t>(EUR 1,500 @ 4.8595)</t>
  </si>
  <si>
    <t>8 Cross Street</t>
  </si>
  <si>
    <t>Tripadvisor Online Campaign - UK &amp; Aus</t>
  </si>
  <si>
    <t>4th May 2018</t>
  </si>
  <si>
    <t>11/4/2018</t>
  </si>
  <si>
    <t>V2018/446</t>
  </si>
  <si>
    <t>688203</t>
  </si>
  <si>
    <t>6/3/2018</t>
  </si>
  <si>
    <t>PC2018-1038</t>
  </si>
  <si>
    <t>Being supply of additional canopy, tables, chairs, fans,</t>
  </si>
  <si>
    <t>power supply, electrical items, signages, and photo opp</t>
  </si>
  <si>
    <t>V2018/443</t>
  </si>
  <si>
    <t>2nd May 2018</t>
  </si>
  <si>
    <t>Nanjing Tuiu International Travel Service Ltd</t>
  </si>
  <si>
    <t>Tuniu Building, 699-32 Xuanwu District</t>
  </si>
  <si>
    <t>21000 PRC</t>
  </si>
  <si>
    <t xml:space="preserve">Destination Penang &amp; Tuniu Promotion </t>
  </si>
  <si>
    <t>Tactical Campaign - China</t>
  </si>
  <si>
    <t>(USD50,000 @ 3.9703)</t>
  </si>
  <si>
    <t>Schenker Logistics (Malaysia) Sdn Bhd</t>
  </si>
  <si>
    <t>Lot 1 &amp; 3, Persiaran Pasak Bumi</t>
  </si>
  <si>
    <t>Bukit Jelutong Ind. Park</t>
  </si>
  <si>
    <t>Seksyen U8, 40150 Shah Alam</t>
  </si>
  <si>
    <t>31st May 2018</t>
  </si>
  <si>
    <t>18/5/2018</t>
  </si>
  <si>
    <t>V2018/490</t>
  </si>
  <si>
    <t>PGTEFT3229</t>
  </si>
  <si>
    <t>Premium Minds Sdn Bhd</t>
  </si>
  <si>
    <t>57-13A-16&amp;17, Mansion One</t>
  </si>
  <si>
    <t>Tel :04-229 9333</t>
  </si>
  <si>
    <t>Video Production</t>
  </si>
  <si>
    <t>16/4/2018</t>
  </si>
  <si>
    <t>(Period : Apr to June 2018)</t>
  </si>
  <si>
    <t>V2018/500</t>
  </si>
  <si>
    <t>PGTEFT3239</t>
  </si>
  <si>
    <t>INV00003937</t>
  </si>
  <si>
    <t>Notebook HP RAM - 4GB (SP)</t>
  </si>
  <si>
    <t xml:space="preserve"> - Morning at The Penang National Park</t>
  </si>
  <si>
    <t>To supply &amp; install 1 pc sign for big cube @ Airport</t>
  </si>
  <si>
    <t>2nd payment - Technical fees</t>
  </si>
  <si>
    <t>14th June 2018</t>
  </si>
  <si>
    <t>12/6/2018</t>
  </si>
  <si>
    <t>30/6/2018</t>
  </si>
  <si>
    <t>V2018/556</t>
  </si>
  <si>
    <t>PGTEFT3280</t>
  </si>
  <si>
    <t>Sage Business Care Plan - 1 year</t>
  </si>
  <si>
    <t>112303</t>
  </si>
  <si>
    <t>User pack - Sage Business Care Plan</t>
  </si>
  <si>
    <t>1/6/2018</t>
  </si>
  <si>
    <t>INV18-032</t>
  </si>
  <si>
    <t xml:space="preserve">Forth payment for PIFF </t>
  </si>
  <si>
    <t>INV18-033</t>
  </si>
  <si>
    <t>Reimbursement of Facebook Ads</t>
  </si>
  <si>
    <t>Reimbursement of Additional Shuttle Bus</t>
  </si>
  <si>
    <t>V2018/527</t>
  </si>
  <si>
    <t>13th June 2018</t>
  </si>
  <si>
    <t>0000357</t>
  </si>
  <si>
    <t xml:space="preserve">50% Balance of Publicity cost for Penang Fair </t>
  </si>
  <si>
    <t>Bank Charges Overseas</t>
  </si>
  <si>
    <t>(USD 3,672.77 @ 4.053 )</t>
  </si>
  <si>
    <t>Being service rendered to PCET for June 2018</t>
  </si>
  <si>
    <t>Being service rendered to PMED for June 2018</t>
  </si>
  <si>
    <t xml:space="preserve"> - Guided walk at Botanic Garden</t>
  </si>
  <si>
    <t>13th July 2018</t>
  </si>
  <si>
    <t>27th July 2018</t>
  </si>
  <si>
    <t>V2018/667</t>
  </si>
  <si>
    <t>PGTEFT3371</t>
  </si>
  <si>
    <t>Niche Forte Communications Sdn Bhd</t>
  </si>
  <si>
    <t>18-31-B, Gurney Tower, Persiaran Gurney</t>
  </si>
  <si>
    <t>333-18</t>
  </si>
  <si>
    <t xml:space="preserve">Editorial Support in Where2 Magazine - June&amp;July </t>
  </si>
  <si>
    <t>TG Solutions</t>
  </si>
  <si>
    <t>23A, Jalan Air Itam MK13</t>
  </si>
  <si>
    <t>V2018/687</t>
  </si>
  <si>
    <t>Palita Piwkham</t>
  </si>
  <si>
    <t>59/3, Sripoonwanfi Soi 10 Road</t>
  </si>
  <si>
    <t>Hatyai, Thailand</t>
  </si>
  <si>
    <t>Hatyai Education Exhibition Full packages for 6 colleges</t>
  </si>
  <si>
    <t>2nd Aug 2018</t>
  </si>
  <si>
    <t>Labour charges for portion data recovering for HP</t>
  </si>
  <si>
    <t>Laptop ProBook 400, reprogramming of windows &amp;</t>
  </si>
  <si>
    <t>Labour charge for recovering full data 7 layer harddisk</t>
  </si>
  <si>
    <t>for HP Laptop ProBook 400</t>
  </si>
  <si>
    <t>Labour charge for reprograming of windows - Ramlee</t>
  </si>
  <si>
    <t xml:space="preserve">reinstallation </t>
  </si>
  <si>
    <t>Being website maintenance for PCET</t>
  </si>
  <si>
    <t>(Period : July to Dec 2018)</t>
  </si>
  <si>
    <t>V2018/706</t>
  </si>
  <si>
    <t>PGTEFT3398</t>
  </si>
  <si>
    <t>Ta Krai Café Sdn Bhd</t>
  </si>
  <si>
    <t xml:space="preserve">No. 963, Jalan Perusahaan </t>
  </si>
  <si>
    <t>Kawasan Perindustrian Perai</t>
  </si>
  <si>
    <t>13600 Perai, Penang</t>
  </si>
  <si>
    <t>2/7/2018</t>
  </si>
  <si>
    <t>TK-1807/001</t>
  </si>
  <si>
    <t>Meals for AirAsia Hanoi-Penang Inaugural Flight PC</t>
  </si>
  <si>
    <t>Additional order</t>
  </si>
  <si>
    <t>St World Inc</t>
  </si>
  <si>
    <t xml:space="preserve">Shibuya Cine Tower </t>
  </si>
  <si>
    <t>14F, 5-17 Dogenzaja 2 Chome</t>
  </si>
  <si>
    <t xml:space="preserve">Shibuya-ku Tokyo </t>
  </si>
  <si>
    <t>1500043 Japan</t>
  </si>
  <si>
    <t>31/7/2018</t>
  </si>
  <si>
    <t>INV18-040</t>
  </si>
  <si>
    <t xml:space="preserve">Being organising event for Hari Raya Celebration on </t>
  </si>
  <si>
    <t>23/6 &amp; 30/6/2018</t>
  </si>
  <si>
    <t xml:space="preserve"> - Main Set up &amp; Equipment</t>
  </si>
  <si>
    <t xml:space="preserve"> - Decoration</t>
  </si>
  <si>
    <t xml:space="preserve"> - Programme</t>
  </si>
  <si>
    <t xml:space="preserve"> - Operation</t>
  </si>
  <si>
    <t xml:space="preserve"> - Food &amp; Beverage</t>
  </si>
  <si>
    <t xml:space="preserve"> - Others</t>
  </si>
  <si>
    <t>Hari Raya Celebration</t>
  </si>
  <si>
    <t>30/8/2018</t>
  </si>
  <si>
    <t>(Period : July to Sept 2018)</t>
  </si>
  <si>
    <t>Penang Tourism Survey 2018</t>
  </si>
  <si>
    <t xml:space="preserve">ITE Ho Chi Minh </t>
  </si>
  <si>
    <t>(Details refer to Quotation KSY/137-R2/1906)</t>
  </si>
  <si>
    <t>V2018/744</t>
  </si>
  <si>
    <t xml:space="preserve">Unit B1, 28th Floor, Siam Tower </t>
  </si>
  <si>
    <t>989 Rama I Raod</t>
  </si>
  <si>
    <t>Pathumwan Bangkok</t>
  </si>
  <si>
    <t>PATA Travel Mart 2018</t>
  </si>
  <si>
    <t>4/7/2018</t>
  </si>
  <si>
    <t>PTM2018 S-0131</t>
  </si>
  <si>
    <t xml:space="preserve">Raw Space 18sqm booth </t>
  </si>
  <si>
    <t>(USD 18,730 @ 4.1373)</t>
  </si>
  <si>
    <t>Extra Appointment + Full Delegate</t>
  </si>
  <si>
    <t>Co-Delegate</t>
  </si>
  <si>
    <t>Processing Fee</t>
  </si>
  <si>
    <t>Bank Charges - Overseas</t>
  </si>
  <si>
    <t>Bank Charges - Local</t>
  </si>
  <si>
    <t>13th Aug 2018</t>
  </si>
  <si>
    <t>17th Aug 2018</t>
  </si>
  <si>
    <t>V2018/748</t>
  </si>
  <si>
    <t>Pico Ho Chi Minh City Ltd</t>
  </si>
  <si>
    <t>10th Floor, ACB Tower 444A-446 Cach Mang Thang Tam Ward 11</t>
  </si>
  <si>
    <t>Vietnam</t>
  </si>
  <si>
    <t>District 3, Ho Chi Minh City</t>
  </si>
  <si>
    <t>ITE 060918</t>
  </si>
  <si>
    <t>Electrical for booth construction</t>
  </si>
  <si>
    <t>(USD1,387.87 @ 4.163)</t>
  </si>
  <si>
    <t>Bank Charges - Domestic</t>
  </si>
  <si>
    <t>Being service rendered to PCET for Aug 2018</t>
  </si>
  <si>
    <t>Being service rendered to PMED for Aug 2018</t>
  </si>
  <si>
    <t>P.T. MSW Global</t>
  </si>
  <si>
    <t>Block G1 No.2Q</t>
  </si>
  <si>
    <t>Jln Taman Aries</t>
  </si>
  <si>
    <t>West Jakarta</t>
  </si>
  <si>
    <t>6th Sept 2018</t>
  </si>
  <si>
    <t>V2018/804</t>
  </si>
  <si>
    <t>PGTEFT3470</t>
  </si>
  <si>
    <t>PIBG Sek Ren Perempuan Jln Residensi</t>
  </si>
  <si>
    <t>Sekolah Kebangsaan Jalan Resiensi</t>
  </si>
  <si>
    <t>Jalan Residensi</t>
  </si>
  <si>
    <t>17/8/2018</t>
  </si>
  <si>
    <t>Bil(38) dlm. PIBGSJKR</t>
  </si>
  <si>
    <t>18/08/17</t>
  </si>
  <si>
    <t>Car Park Space Rental for HAB on 24/2 &amp; 25/2/2018</t>
  </si>
  <si>
    <t>Penang Seminar @ Australia</t>
  </si>
  <si>
    <t>dated 4.9.2018</t>
  </si>
  <si>
    <t xml:space="preserve"> - Hotel Accommodation @ Sydney - OCY &amp; YP</t>
  </si>
  <si>
    <t xml:space="preserve"> - Hotel Accommodation @ Adelaide - OCY &amp; YP</t>
  </si>
  <si>
    <t>24/1/2018</t>
  </si>
  <si>
    <t>810467513851</t>
  </si>
  <si>
    <t>Tripadvisor Online Campaign - UK &amp; Aus (Dec'17)</t>
  </si>
  <si>
    <t>13th Sept 2018</t>
  </si>
  <si>
    <t>4/9/2018</t>
  </si>
  <si>
    <t>V2018/821</t>
  </si>
  <si>
    <t>PGTEFT3483</t>
  </si>
  <si>
    <t>Tampo Miki</t>
  </si>
  <si>
    <t>Japanese Translator</t>
  </si>
  <si>
    <t>52, Lorong Carnavorn</t>
  </si>
  <si>
    <t>10100 George Town</t>
  </si>
  <si>
    <t>Mobile : 011-1252 4388</t>
  </si>
  <si>
    <t>Trade Foldable Brochure</t>
  </si>
  <si>
    <t>PGT001</t>
  </si>
  <si>
    <t>Tranlation of Trade Foldable Brochure (ENG-JPN)</t>
  </si>
  <si>
    <t>Facebook Ads</t>
  </si>
  <si>
    <t>21st Sept 2018</t>
  </si>
  <si>
    <t>V2018/841</t>
  </si>
  <si>
    <t>PGTEFT3499</t>
  </si>
  <si>
    <t>Cost of Goods sold - Aug'18</t>
  </si>
  <si>
    <t>Aug 2018</t>
  </si>
  <si>
    <t>Terracotta Tiles - Red Door Frame x  1</t>
  </si>
  <si>
    <t>7/9/2018</t>
  </si>
  <si>
    <t>SST 6%</t>
  </si>
  <si>
    <t>dated 21.9.2018</t>
  </si>
  <si>
    <t>V2018/864</t>
  </si>
  <si>
    <t>688282</t>
  </si>
  <si>
    <t>13/9/2018</t>
  </si>
  <si>
    <t>INV 10247</t>
  </si>
  <si>
    <t>(30% of total RM73,500)</t>
  </si>
  <si>
    <t>INV 10248</t>
  </si>
  <si>
    <t>Promotional Material - Custom Clearance</t>
  </si>
  <si>
    <t>and runner fees</t>
  </si>
  <si>
    <t xml:space="preserve"> - Sales Tax</t>
  </si>
  <si>
    <t>V2018/831</t>
  </si>
  <si>
    <t>18th Sept 2018</t>
  </si>
  <si>
    <t>Tripadvisor Online Campaign - USA (Dec'17)</t>
  </si>
  <si>
    <t>598711586302</t>
  </si>
  <si>
    <t>24th Sept 2018</t>
  </si>
  <si>
    <t>V2018/875</t>
  </si>
  <si>
    <t>SiteHost Pty Ltd</t>
  </si>
  <si>
    <t>Hilton Adelaide</t>
  </si>
  <si>
    <t>233, Victoria Square</t>
  </si>
  <si>
    <t>Adelaide, SA 5000</t>
  </si>
  <si>
    <t>Inv 18199758</t>
  </si>
  <si>
    <t>Food &amp; Beverage package for 70 pax on 27/9/2018</t>
  </si>
  <si>
    <t>(AUD 7,579.98 @ 3.0514)</t>
  </si>
  <si>
    <t>V2018/872</t>
  </si>
  <si>
    <t>PGTEFT3522</t>
  </si>
  <si>
    <t>Being service rendered to PCET for Sept 2018</t>
  </si>
  <si>
    <t>Being service rendered to PMED for Sept 2018</t>
  </si>
  <si>
    <t>2nd Oct 2018</t>
  </si>
  <si>
    <t>V2018/892</t>
  </si>
  <si>
    <t>PGTEFT3538</t>
  </si>
  <si>
    <t>Accounts Executive</t>
  </si>
  <si>
    <t>Meeting Jawatankuasa Tindakan Laporan Ketua Audit Negara</t>
  </si>
  <si>
    <t xml:space="preserve"> - Luggage storage</t>
  </si>
  <si>
    <t xml:space="preserve"> - Air Fare (OCY &amp; MS)</t>
  </si>
  <si>
    <t>1/10/2018</t>
  </si>
  <si>
    <t>IV-EVENT</t>
  </si>
  <si>
    <t xml:space="preserve"> - SST</t>
  </si>
  <si>
    <t>4th Oct 2018</t>
  </si>
  <si>
    <t>V2018/909</t>
  </si>
  <si>
    <t>PGTEFT3552</t>
  </si>
  <si>
    <t>PGC Strategies Sdn Bhd</t>
  </si>
  <si>
    <t>Tingkat 46, KOMTAR</t>
  </si>
  <si>
    <t>10503 George Town</t>
  </si>
  <si>
    <t>04-250 3321</t>
  </si>
  <si>
    <t>28/9/2018</t>
  </si>
  <si>
    <t>PGC2018/021</t>
  </si>
  <si>
    <t>Audit Administration fee for PGT on 8/8/2018</t>
  </si>
  <si>
    <t xml:space="preserve"> - An Evening of Lights @ Khoo Kongsi</t>
  </si>
  <si>
    <t>8/10/2018</t>
  </si>
  <si>
    <t>Meeting Attendance</t>
  </si>
  <si>
    <t>6% SST</t>
  </si>
  <si>
    <t>V2018/927</t>
  </si>
  <si>
    <t>AirAsia Travel Fair @ Jakarta</t>
  </si>
  <si>
    <t>14/09/2018</t>
  </si>
  <si>
    <t>102007</t>
  </si>
  <si>
    <t xml:space="preserve">Sponsorr AirAsia Bazaar </t>
  </si>
  <si>
    <t>(IDR 400,000,000 @ 0.000292)</t>
  </si>
  <si>
    <t>PT Indonesia AIrAsia</t>
  </si>
  <si>
    <t>Jl Marsekal Suryadharma</t>
  </si>
  <si>
    <t>No.01/M1, Kel Selapang Jaya</t>
  </si>
  <si>
    <t>Kec Neglasaari, Tangerang</t>
  </si>
  <si>
    <t>22nd Oct 2018</t>
  </si>
  <si>
    <t>V2018/950</t>
  </si>
  <si>
    <t>SM1818M</t>
  </si>
  <si>
    <t>Sccot Airline Inlfight Magazine - Oct Issue</t>
  </si>
  <si>
    <t>(SGD4800 @ 3.0649)</t>
  </si>
  <si>
    <t>29th Oct 2018</t>
  </si>
  <si>
    <t>Reimbursement for :</t>
  </si>
  <si>
    <t>V2018/971</t>
  </si>
  <si>
    <t>Sun Moon Tour And Travel Co. Ltd</t>
  </si>
  <si>
    <t>199/39 Baan Klang Muang Nawanmin</t>
  </si>
  <si>
    <t>42, Bungkum Klongkum</t>
  </si>
  <si>
    <t>10240 Bangkok</t>
  </si>
  <si>
    <t>26/7/2018</t>
  </si>
  <si>
    <t>No. S 13/040</t>
  </si>
  <si>
    <t>Thailand Joint Promotion with TM and UOB Bank</t>
  </si>
  <si>
    <t>Cost of return ticket for BKK-PEN (normal period)</t>
  </si>
  <si>
    <t>Cost of return ticket for BKK-PEN (peak period)</t>
  </si>
  <si>
    <t xml:space="preserve"> (THB14,300 x 14 paxs)</t>
  </si>
  <si>
    <t xml:space="preserve"> (THB11,600 x 16 paxs)</t>
  </si>
  <si>
    <t>(THB385,800 @ 7.550226)</t>
  </si>
  <si>
    <t>15th Nov 2018</t>
  </si>
  <si>
    <t>V2018/1031</t>
  </si>
  <si>
    <t>PGTEFT3647</t>
  </si>
  <si>
    <t>Ravi Sharma Travel Sdn Bhd</t>
  </si>
  <si>
    <t>46, Leith Street</t>
  </si>
  <si>
    <t>Tel : 04 -263 2145</t>
  </si>
  <si>
    <t>Fax : 04-264 8453</t>
  </si>
  <si>
    <t>Sponsorship of Return Tickets for Food Promotion at New Delhi</t>
  </si>
  <si>
    <t>PGT01/2018</t>
  </si>
  <si>
    <t>Air Tickets (PEN-KUL-DEL-KUL-PEN) - 2 pax</t>
  </si>
  <si>
    <t>Visa Application fee</t>
  </si>
  <si>
    <t>25/10/2018</t>
  </si>
  <si>
    <t>V2018/1048</t>
  </si>
  <si>
    <t>PGTEFT3660</t>
  </si>
  <si>
    <t>30th Nov 2018</t>
  </si>
  <si>
    <t>Being service rendered to PCET for Nov 2018</t>
  </si>
  <si>
    <t>Being service rendered to PMED for Nov 2018</t>
  </si>
  <si>
    <t>China International Import Expo (CIIE)</t>
  </si>
  <si>
    <t>V2018/1051</t>
  </si>
  <si>
    <t>688314</t>
  </si>
  <si>
    <t>NewBase Media Malaysia Sdn Bhd</t>
  </si>
  <si>
    <t>47800 Petaling Jaya, Selangor</t>
  </si>
  <si>
    <t>Media Campaign - Thailand</t>
  </si>
  <si>
    <t>V2018/1010</t>
  </si>
  <si>
    <t>1st Nov 2018</t>
  </si>
  <si>
    <t>Osaka St Regis Hotel Co Ltd</t>
  </si>
  <si>
    <t>3-6-12, Hommachi, Chuo-ku</t>
  </si>
  <si>
    <t>Osaka 541-0053</t>
  </si>
  <si>
    <t>Penang Seminar @ Japan</t>
  </si>
  <si>
    <t>201810110</t>
  </si>
  <si>
    <t>Venue rental, F&amp;B and AV Equipments for</t>
  </si>
  <si>
    <t>Seminar on 15/11/2018</t>
  </si>
  <si>
    <t>(JPY949,494 @ 0.037591)</t>
  </si>
  <si>
    <t>V2018/1011</t>
  </si>
  <si>
    <t>Hilton Tokyo</t>
  </si>
  <si>
    <t xml:space="preserve">6-2, Nishi-Shinjuku </t>
  </si>
  <si>
    <t>6 Chome, Shinjuku-ku, Tokyo</t>
  </si>
  <si>
    <t>23/10/2018</t>
  </si>
  <si>
    <t>111318-1</t>
  </si>
  <si>
    <t>Venue rental, F&amp;B &amp; AV Equipments for Tokyo Seminar</t>
  </si>
  <si>
    <t>on 13/11/2018</t>
  </si>
  <si>
    <t>(JPY921,888 @ 0.037533)</t>
  </si>
  <si>
    <t>V2018/1013</t>
  </si>
  <si>
    <t>5th Nov 2018</t>
  </si>
  <si>
    <t>Shanghai Expotrans Ltd</t>
  </si>
  <si>
    <t xml:space="preserve">10F No.555, An Yuan Road </t>
  </si>
  <si>
    <t xml:space="preserve">Shanghai </t>
  </si>
  <si>
    <t>20040 China</t>
  </si>
  <si>
    <t>EX2018-SH-1102</t>
  </si>
  <si>
    <t xml:space="preserve">Being courier of promotion materials to Shanghai </t>
  </si>
  <si>
    <t>(Including of storage &amp; taxes)</t>
  </si>
  <si>
    <t>(USD860.38 @ 4.22199)</t>
  </si>
  <si>
    <t>V2018/1056</t>
  </si>
  <si>
    <t>688317</t>
  </si>
  <si>
    <t>V2018/1070</t>
  </si>
  <si>
    <t>PGTEFT3676</t>
  </si>
  <si>
    <t>Next Trend Publications Sdn Bhd</t>
  </si>
  <si>
    <t>15-9, The Boulevard, Mid Valley City</t>
  </si>
  <si>
    <t>Lingkaran Syed Putra</t>
  </si>
  <si>
    <t>Tel : 03-2282 9830</t>
  </si>
  <si>
    <t xml:space="preserve">Publicity - Hot Air Balloon </t>
  </si>
  <si>
    <t>28/11/2018</t>
  </si>
  <si>
    <t>EC1811-02</t>
  </si>
  <si>
    <t xml:space="preserve">Advertisement insertion in Escape! Magazine for </t>
  </si>
  <si>
    <t>Dec &amp; Jan 2019</t>
  </si>
  <si>
    <t>Pen Ads (M) Sendirian Berhad</t>
  </si>
  <si>
    <t>27, Jalan Besi, Green Lane</t>
  </si>
  <si>
    <t>11600 Pulau Pinang</t>
  </si>
  <si>
    <t>Tel : 04-658 5899</t>
  </si>
  <si>
    <t>Penang Travelllers Map</t>
  </si>
  <si>
    <t>26/11/2018</t>
  </si>
  <si>
    <t>27/11/2018</t>
  </si>
  <si>
    <t>V2018/1090</t>
  </si>
  <si>
    <t>PGTEFT3695</t>
  </si>
  <si>
    <t>Tan Liu Chin</t>
  </si>
  <si>
    <t>I/C : 831020-07-5702</t>
  </si>
  <si>
    <t xml:space="preserve">ET Design </t>
  </si>
  <si>
    <t>NO. 6841, Tingkai 1, Jalan Raja Uda</t>
  </si>
  <si>
    <t xml:space="preserve">12300 Butterworth </t>
  </si>
  <si>
    <t>25/11/2018</t>
  </si>
  <si>
    <t xml:space="preserve">In-flight Magazine Designing fee </t>
  </si>
  <si>
    <t>14/11/2018</t>
  </si>
  <si>
    <t>V2018/1095</t>
  </si>
  <si>
    <t>PGTEFT3696</t>
  </si>
  <si>
    <t>4th Dec 2018</t>
  </si>
  <si>
    <t>Memo dated 3.12.2018</t>
  </si>
  <si>
    <t>Advance of cash for PMED FAM Trip - Indonesia Medias/Bloggers</t>
  </si>
  <si>
    <t xml:space="preserve"> - Blogger Coverage to Olive Benden</t>
  </si>
  <si>
    <t xml:space="preserve"> - Media Coverage TVRI to Lukman Hakim Sitorus</t>
  </si>
  <si>
    <t>Booth construction</t>
  </si>
  <si>
    <t>Visual )</t>
  </si>
  <si>
    <t>(Flooring, Structure &amp; Graphics, Furnitures, Electrical Fittings, Audio</t>
  </si>
  <si>
    <t>17th Dec 2018</t>
  </si>
  <si>
    <t>10/12/2018</t>
  </si>
  <si>
    <t>Dec - Penang Heritage Food x 1 copy</t>
  </si>
  <si>
    <t>Jul - Penang Heritage Food x 1 copy</t>
  </si>
  <si>
    <t>Jan -  Penang Heritage Food x 2 copies</t>
  </si>
  <si>
    <t>Apr -  Penang Heritage Food x 2 copies</t>
  </si>
  <si>
    <t>May -  Penang Heritage Food x 1 copy</t>
  </si>
  <si>
    <t>Aug -  Penang Heritage Food x 2 copies</t>
  </si>
  <si>
    <t>Oct -  Penang Heritage Food x 2 copies</t>
  </si>
  <si>
    <t>V2018/1129</t>
  </si>
  <si>
    <t>PGTEFT3725</t>
  </si>
  <si>
    <t>1/12/2018</t>
  </si>
  <si>
    <t>PT 035/18</t>
  </si>
  <si>
    <t>50% of balance payment</t>
  </si>
  <si>
    <t>V2018/1130</t>
  </si>
  <si>
    <t>PGTEFT3726</t>
  </si>
  <si>
    <t>19/11/2018</t>
  </si>
  <si>
    <t>1832643</t>
  </si>
  <si>
    <t xml:space="preserve">Basic Accounting </t>
  </si>
  <si>
    <t>(Attended by Emmy)</t>
  </si>
  <si>
    <t>V2018/1132</t>
  </si>
  <si>
    <t>PGTEFT3728</t>
  </si>
  <si>
    <t>20/11/2018</t>
  </si>
  <si>
    <t>INN 14349</t>
  </si>
  <si>
    <t>Revision for Penang Here and Now Video in Chinese</t>
  </si>
  <si>
    <t>Video editing with footages for Penang Cun Video</t>
  </si>
  <si>
    <t>Persatuan Ibu Bapa Dan Guru SMK Padang Polo</t>
  </si>
  <si>
    <t>Sekolah Menengah Kebangsaan Padang Polo</t>
  </si>
  <si>
    <t>Jalan Sepoy Lines</t>
  </si>
  <si>
    <t>10450 Pulau Pinang</t>
  </si>
  <si>
    <t xml:space="preserve">Office Upkeep </t>
  </si>
  <si>
    <t>Diagnostic checking, installation, configuration, testing</t>
  </si>
  <si>
    <t xml:space="preserve"> - Cemetery Tour</t>
  </si>
  <si>
    <t>18th Dec 2018</t>
  </si>
  <si>
    <t>V2018/1149</t>
  </si>
  <si>
    <t>688332</t>
  </si>
  <si>
    <t>Media Campaign - Australia</t>
  </si>
  <si>
    <t>7/12/2018</t>
  </si>
  <si>
    <t>3941</t>
  </si>
  <si>
    <t>Advertorial in Qantas inflight magazine</t>
  </si>
  <si>
    <t>for Dec'18 issues</t>
  </si>
  <si>
    <t>3943</t>
  </si>
  <si>
    <t>for Jan'19 issues</t>
  </si>
  <si>
    <t>3935</t>
  </si>
  <si>
    <t>Advertorial in WeSmile, Thai Smile inflight magazine</t>
  </si>
  <si>
    <t>7% VAT Thailand</t>
  </si>
  <si>
    <t>V2018/1157</t>
  </si>
  <si>
    <t>S'pre airlines - SilverKrs (Nov'18)</t>
  </si>
  <si>
    <t>(SGD21,823.52 @ 3.0688)</t>
  </si>
  <si>
    <t>Silk Air - Silkwinds (June'18)</t>
  </si>
  <si>
    <t>(SGD4,050 @ 2.9926)</t>
  </si>
  <si>
    <t>Qatar Airways - Oryx (June'18)</t>
  </si>
  <si>
    <t>(SGD9,300 @ 2.9926)</t>
  </si>
  <si>
    <t>Qatar Airways - Oryx (Oct'18)</t>
  </si>
  <si>
    <t>(SGD9,300 @ 3.0413)</t>
  </si>
  <si>
    <t>Silk Air - Silkwinds (Oct'18)</t>
  </si>
  <si>
    <t>(SGD4,050 @ 3.0413)</t>
  </si>
  <si>
    <t>V2018/1156</t>
  </si>
  <si>
    <t>Transperfect Translations Pte</t>
  </si>
  <si>
    <t xml:space="preserve">50, Raffles Place </t>
  </si>
  <si>
    <t xml:space="preserve"># 11-04, Singapore Land Tower </t>
  </si>
  <si>
    <t>048623 Singapore</t>
  </si>
  <si>
    <t>10081</t>
  </si>
  <si>
    <t>Trade Brochure</t>
  </si>
  <si>
    <t>Translation fee from English to German</t>
  </si>
  <si>
    <t>(SGD 2,090.50 @ 3.0734)</t>
  </si>
  <si>
    <t>V2018/1159</t>
  </si>
  <si>
    <t>PT. Toni Sagala Aya</t>
  </si>
  <si>
    <t xml:space="preserve">JL Tebet Barat VIII </t>
  </si>
  <si>
    <t xml:space="preserve">No.6 Tebet </t>
  </si>
  <si>
    <t>AirAsia Bazaar @ Jakarta</t>
  </si>
  <si>
    <t>5/9/2018</t>
  </si>
  <si>
    <t>268/INV-IX/18</t>
  </si>
  <si>
    <t>Booth Rental</t>
  </si>
  <si>
    <t>(IDR 116,910,000 @ 0.000307)</t>
  </si>
  <si>
    <t>Agency Fee</t>
  </si>
  <si>
    <t>Cretive Concept &amp; Design Fee</t>
  </si>
  <si>
    <t>Printing of Penang Travellers Map (Eng) - 20,000pcs</t>
  </si>
  <si>
    <t>Persatuan Ibu Bapa Guru-Guru SMK Tunku Puan Habsah</t>
  </si>
  <si>
    <t>Sekolah Menengah Kebangsaan Tunku Puan Habsah</t>
  </si>
  <si>
    <t>13/12/2018</t>
  </si>
  <si>
    <t>17/12/2018</t>
  </si>
  <si>
    <t>0000882</t>
  </si>
  <si>
    <t>Secretarial Service rendered for Sept to Dec</t>
  </si>
  <si>
    <t>Penang Centre of Ecducation Tourism</t>
  </si>
  <si>
    <t>27th Dec 2018</t>
  </si>
  <si>
    <t>V2018/1193</t>
  </si>
  <si>
    <t>P.O.Box 2548, Safat  13026</t>
  </si>
  <si>
    <t>Kuwait City, 14th Floor Rakan Tower</t>
  </si>
  <si>
    <t>Fahad Al Salem St.</t>
  </si>
  <si>
    <t>Qatar Marketing Campaign</t>
  </si>
  <si>
    <t>KWIQR25112018</t>
  </si>
  <si>
    <t xml:space="preserve">Marketing partnernship with Qatar Airways Kuwait </t>
  </si>
  <si>
    <t>(USD15,000 @ 4.2203)</t>
  </si>
  <si>
    <t>V2018/1194</t>
  </si>
  <si>
    <t>Schillerstrasse 20</t>
  </si>
  <si>
    <t>60313 Frankfurt - Germany</t>
  </si>
  <si>
    <t>F032/2018</t>
  </si>
  <si>
    <t>Marketing partnernship with Qatar Airways Germany</t>
  </si>
  <si>
    <t>(USD23,000 @ 4.2203)</t>
  </si>
  <si>
    <t>Being domain &amp; hosting renewal for 1 year (Study Penang)</t>
  </si>
  <si>
    <t>(Period : 27th Dec to 26th Dec 2018)</t>
  </si>
  <si>
    <t>31/12/2018</t>
  </si>
  <si>
    <t>4th Jan 2019</t>
  </si>
  <si>
    <t>PT Citilink Indonesia</t>
  </si>
  <si>
    <t>Management Support | Building 1st Floor</t>
  </si>
  <si>
    <t>Garuda City, Soekarno - Hatta International Airport</t>
  </si>
  <si>
    <t>P.O.Box 1004, TNG BUSH 15111</t>
  </si>
  <si>
    <t>Tangerang - Indonesia</t>
  </si>
  <si>
    <t>Media Campaign - Indonesia</t>
  </si>
  <si>
    <t>CT2018112769</t>
  </si>
  <si>
    <t>CT2018122809</t>
  </si>
  <si>
    <t>(IDR 63,000 @ 0.000306)</t>
  </si>
  <si>
    <t>Ads on Citilink In-flight Magazine - November 2018</t>
  </si>
  <si>
    <t>Ads on Citilink In-flight Magazine - December 2018</t>
  </si>
  <si>
    <t>V2019/005</t>
  </si>
  <si>
    <t>Thai AirAsia Company Limited</t>
  </si>
  <si>
    <t>No. 222 , Don Mueang International Airport</t>
  </si>
  <si>
    <t>3rd Floor, Central Office Building</t>
  </si>
  <si>
    <t>Room No. 3200</t>
  </si>
  <si>
    <t>Thailand</t>
  </si>
  <si>
    <t>Tactical Campaign - Hong Kong/Macau</t>
  </si>
  <si>
    <t>INV2018-12-003</t>
  </si>
  <si>
    <t xml:space="preserve">AirAsia HK &amp; Macau Joint Promotion Campaign </t>
  </si>
  <si>
    <t>(HKD54,000 @ 1.855212)</t>
  </si>
  <si>
    <t>V2019/022</t>
  </si>
  <si>
    <t>9th Jan 2019</t>
  </si>
  <si>
    <t>1, Clunt Mews, West Kensington</t>
  </si>
  <si>
    <t>London SW5 9EG</t>
  </si>
  <si>
    <t>Marketing partnernship with Qatar Airways United Kingdom</t>
  </si>
  <si>
    <t>V2019/023</t>
  </si>
  <si>
    <t>350 5th Ave. Suite 7630</t>
  </si>
  <si>
    <t>New York</t>
  </si>
  <si>
    <t>NY</t>
  </si>
  <si>
    <t>Marketing partnernship with Qatar Airways United States</t>
  </si>
  <si>
    <t>(USD35,000 @ 4.1573)</t>
  </si>
  <si>
    <t>14th Jan 2019</t>
  </si>
  <si>
    <t>7/1/2019</t>
  </si>
  <si>
    <t>0510</t>
  </si>
  <si>
    <t>V2019/044</t>
  </si>
  <si>
    <t>PGTEFT3815</t>
  </si>
  <si>
    <t>Tan Shurong</t>
  </si>
  <si>
    <t>Wedding Tourism</t>
  </si>
  <si>
    <t>3/1/2019</t>
  </si>
  <si>
    <t xml:space="preserve">Being design fee for Wedding Tourism leaflet </t>
  </si>
  <si>
    <t>V2019/045</t>
  </si>
  <si>
    <t>PGTEFT3816</t>
  </si>
  <si>
    <t>TaxAdvisory Plt</t>
  </si>
  <si>
    <t>4th Floor, Acctax Corporate Centre</t>
  </si>
  <si>
    <t>No.2, Jalan Bawasah</t>
  </si>
  <si>
    <t>10050 Georgetown</t>
  </si>
  <si>
    <t>Training/Skill Development</t>
  </si>
  <si>
    <t>700095</t>
  </si>
  <si>
    <t>2019 Budget &amp; Tax updates seminar fee</t>
  </si>
  <si>
    <t>1st payment for Penang HAB</t>
  </si>
  <si>
    <t>15% of total RM 805,610</t>
  </si>
  <si>
    <t>2nd payment for Penang HAB</t>
  </si>
  <si>
    <t>45% of total RM 805,610</t>
  </si>
  <si>
    <t>V2019/054</t>
  </si>
  <si>
    <t>Edaran Tan Chong Motor (Utara) Sdn Bhd</t>
  </si>
  <si>
    <t>No.7, Jalan Besar</t>
  </si>
  <si>
    <t>Taman Perindustrian</t>
  </si>
  <si>
    <t>14300 Nibong Tebal</t>
  </si>
  <si>
    <t>Motor Vehicle</t>
  </si>
  <si>
    <t>UTNTLN300073</t>
  </si>
  <si>
    <t>Nissan Serena 2.0L CVT HWS S-HEV</t>
  </si>
  <si>
    <t>1 Year Road Tax</t>
  </si>
  <si>
    <t>1 Year Insurance</t>
  </si>
  <si>
    <t>Registration Fee</t>
  </si>
  <si>
    <t>(-) Credit Note for Discount</t>
  </si>
  <si>
    <t>UTNLC300010</t>
  </si>
  <si>
    <t>(-) Trade-in of old MV</t>
  </si>
  <si>
    <t>(-) Booking fee</t>
  </si>
  <si>
    <t>(-) Adjustment</t>
  </si>
  <si>
    <t>Additional Events on 21/10/18 - Diwali Henna Arts Workshop</t>
  </si>
  <si>
    <t>Event Management</t>
  </si>
  <si>
    <t>Additional Events on 17/10/18 - Spe. Night at the cemetery</t>
  </si>
  <si>
    <t>Additional Events on 16/12/18 - Winter Solstics Workshop</t>
  </si>
  <si>
    <t>24th Jan 2019</t>
  </si>
  <si>
    <t>First aider for 2 days (6 pax)</t>
  </si>
  <si>
    <t>Duty &amp; Tax</t>
  </si>
  <si>
    <t>V2019/071</t>
  </si>
  <si>
    <t>688346</t>
  </si>
  <si>
    <t>Tactical Campaign - Thailand</t>
  </si>
  <si>
    <t>INV2018-12-010</t>
  </si>
  <si>
    <t xml:space="preserve">Thailand Joint Promotion Campaign with TM &amp; AA </t>
  </si>
  <si>
    <t>Jul to Sep 2018</t>
  </si>
  <si>
    <t>0648</t>
  </si>
  <si>
    <t>Being 3 months website maintenance for PMED</t>
  </si>
  <si>
    <t>from July-Sept 2018</t>
  </si>
  <si>
    <t>0756</t>
  </si>
  <si>
    <t>from Oct-Dec 2018</t>
  </si>
  <si>
    <t>6% Sales Tax</t>
  </si>
  <si>
    <t>0757</t>
  </si>
  <si>
    <t xml:space="preserve">Being 3 months maintenance of Vetnamese </t>
  </si>
  <si>
    <t>Language website from Oct-Dec 2018</t>
  </si>
  <si>
    <t>3/12/2018</t>
  </si>
  <si>
    <t>29/1/2019</t>
  </si>
  <si>
    <t>Being 1st payment for PIFF 2019</t>
  </si>
  <si>
    <t>(RM600,000 of total RM1.3 mil)</t>
  </si>
  <si>
    <t>Being 2nd payment for PIFF 2019</t>
  </si>
  <si>
    <t>(RM200,000 of total RM1.3 mil)</t>
  </si>
  <si>
    <t>V2019/101</t>
  </si>
  <si>
    <t>PGTEFT3862</t>
  </si>
  <si>
    <t>V2019/102</t>
  </si>
  <si>
    <t>12th Feb 2019</t>
  </si>
  <si>
    <t>149353</t>
  </si>
  <si>
    <t>To Transfer the balance to CIMB Bank Bhd</t>
  </si>
  <si>
    <t>V2019/103A</t>
  </si>
  <si>
    <t>Qatar Airways Tower</t>
  </si>
  <si>
    <t>PO Box 22550 Doha Qatar</t>
  </si>
  <si>
    <t>13th Feb 2019</t>
  </si>
  <si>
    <t>V2019/059</t>
  </si>
  <si>
    <t>688357</t>
  </si>
  <si>
    <t>27th Feb 2019</t>
  </si>
  <si>
    <t>V2019/164</t>
  </si>
  <si>
    <t>PGTEFT3911</t>
  </si>
  <si>
    <t>11/2/2019</t>
  </si>
  <si>
    <t>INV 3608</t>
  </si>
  <si>
    <t>Emcee service for HAB on 9/2/2019</t>
  </si>
  <si>
    <t>V2019/165</t>
  </si>
  <si>
    <t>PGTEFT3912</t>
  </si>
  <si>
    <t xml:space="preserve">Ross Stephenson </t>
  </si>
  <si>
    <t>I/C : 931022-10-5221</t>
  </si>
  <si>
    <t>www.magicross7.com</t>
  </si>
  <si>
    <t>INV 07012019</t>
  </si>
  <si>
    <t>Emcee service &amp; entertainer for HAB on 9/2 &amp; 10/2/19</t>
  </si>
  <si>
    <t>V2019/166</t>
  </si>
  <si>
    <t>PGTEFT3913</t>
  </si>
  <si>
    <t>Sim Mei Wan</t>
  </si>
  <si>
    <t>I/C : 890405085696</t>
  </si>
  <si>
    <t>7-5-3, Lintang Pantai Jerejak</t>
  </si>
  <si>
    <t>18/2/2019</t>
  </si>
  <si>
    <t>Translation of Calendar of Event - Traditional Chinese</t>
  </si>
  <si>
    <t>Translation of website content - Simplified Chinese</t>
  </si>
  <si>
    <t>Translation of website content - Traditional Chinese</t>
  </si>
  <si>
    <t>Translation of Calendar of Event - Simplified Chinese</t>
  </si>
  <si>
    <t xml:space="preserve">Being 3 months PMED website maintenance from </t>
  </si>
  <si>
    <t>1st Mar 2019</t>
  </si>
  <si>
    <t>V2019/202</t>
  </si>
  <si>
    <t>PGTEFT3938</t>
  </si>
  <si>
    <t>Mon Reve Talent And Event Management</t>
  </si>
  <si>
    <t>1, Jalan Sentosa Kiri</t>
  </si>
  <si>
    <t>Taman Bukit Ria</t>
  </si>
  <si>
    <t>20190211-H</t>
  </si>
  <si>
    <t>Emcee for 2 days (9/2 &amp; 10/2/2019)</t>
  </si>
  <si>
    <t>To supply &amp; install bus shelter panel c/w inkjet on tarpaulin</t>
  </si>
  <si>
    <t>base, making pcoket, metal ring, cable tie @ QBM</t>
  </si>
  <si>
    <t>base, making pcoket, metal ring, cable tie @ Weld Quay</t>
  </si>
  <si>
    <t xml:space="preserve">base, making pcoket, metal ring, cable tie @ Tesco Tj Tokong </t>
  </si>
  <si>
    <t>Labour charge to dismantle bus shelter panel</t>
  </si>
  <si>
    <t>V2019/138A</t>
  </si>
  <si>
    <t>14th Feb 2019</t>
  </si>
  <si>
    <t>IVP6201/004</t>
  </si>
  <si>
    <t>Raw Space + Extra Corner Booth (USD 3,730 @ 4.1103)</t>
  </si>
  <si>
    <t>26/2/2019</t>
  </si>
  <si>
    <t>INV114556</t>
  </si>
  <si>
    <t>Being payment for LFSS for Jan'19</t>
  </si>
  <si>
    <t>Being payment for LFSS for Feb'19</t>
  </si>
  <si>
    <t xml:space="preserve"> - Bedak Sejuk Tour @ Balik Pulau</t>
  </si>
  <si>
    <t>Trade Consumer Leaflet - Eng to Japanese</t>
  </si>
  <si>
    <t>Trade Booklet &amp; Consumer Leaflet- English to Korean</t>
  </si>
  <si>
    <t>Trade Booklet &amp; Consumer Leaflet- English to Vietnamese</t>
  </si>
  <si>
    <t>Trade Booklet &amp; Consumer Leaflet- Typesetting</t>
  </si>
  <si>
    <t xml:space="preserve">TOTAL:  RINGGIT  </t>
  </si>
  <si>
    <t>V2019/191</t>
  </si>
  <si>
    <t>Part of You UG-Ulrich Bieber</t>
  </si>
  <si>
    <t>Munchner Str 15A Starnberg</t>
  </si>
  <si>
    <t>Germany</t>
  </si>
  <si>
    <t>ITB Berlin 2019</t>
  </si>
  <si>
    <t>20/2/2019</t>
  </si>
  <si>
    <t>Inv 2019-23</t>
  </si>
  <si>
    <t>Photo Sessions</t>
  </si>
  <si>
    <t xml:space="preserve">Screens </t>
  </si>
  <si>
    <t>Printing of Roll up displays</t>
  </si>
  <si>
    <t>19% VAT</t>
  </si>
  <si>
    <t>(EUR 3,001.18 @ 4.7136)</t>
  </si>
  <si>
    <t>Raw Space Booth (USD 3,340 @ 4.1103)</t>
  </si>
  <si>
    <t>22th Mar 2019</t>
  </si>
  <si>
    <t>V2019/239</t>
  </si>
  <si>
    <t>PGTEFT3970</t>
  </si>
  <si>
    <t>Semangat Kiwi Sdn Bhd</t>
  </si>
  <si>
    <t>Muntri Groove Hotel</t>
  </si>
  <si>
    <t>127, 129, 131A-F, Lebuh Muntri</t>
  </si>
  <si>
    <t>AirAsia X Fukoka Travel Agent &amp; Media FAM</t>
  </si>
  <si>
    <t>on 1-4th Mar 2019</t>
  </si>
  <si>
    <t>BN5398</t>
  </si>
  <si>
    <t>Hotel Accommodation 7 rooms x 2 nights</t>
  </si>
  <si>
    <t>22nd Mar 2019</t>
  </si>
  <si>
    <t>Ads - Billboard/Cube</t>
  </si>
  <si>
    <t>18/3/2019</t>
  </si>
  <si>
    <t>V2019/259</t>
  </si>
  <si>
    <t>PGTEFT3990</t>
  </si>
  <si>
    <t>V2019/265</t>
  </si>
  <si>
    <t>688376</t>
  </si>
  <si>
    <t>37612/18P</t>
  </si>
  <si>
    <t>4th Payment for Penang Tourism Survey</t>
  </si>
  <si>
    <t>Upon delivery of report 3, 4 &amp; Compilation</t>
  </si>
  <si>
    <t>Tong Poh Kheng</t>
  </si>
  <si>
    <t>naughtynyonya@gmai.com</t>
  </si>
  <si>
    <t>V2019/279</t>
  </si>
  <si>
    <t>27th March 2019</t>
  </si>
  <si>
    <t>14/12/2019</t>
  </si>
  <si>
    <t>PIACIN-00001348</t>
  </si>
  <si>
    <t>Partnership Campaig with AirAsia Indonesia</t>
  </si>
  <si>
    <t>(USD11,11850 @ 4.1253))</t>
  </si>
  <si>
    <t xml:space="preserve">Voucher No.   : </t>
  </si>
  <si>
    <t>Date              :</t>
  </si>
  <si>
    <t>26th March 2019</t>
  </si>
  <si>
    <t>Bank             :</t>
  </si>
  <si>
    <t>Experience Penang 2020 Roadshow - Korea</t>
  </si>
  <si>
    <t>Invoice</t>
  </si>
  <si>
    <t>V2019/274</t>
  </si>
  <si>
    <t>Sung Yunmo</t>
  </si>
  <si>
    <t>B&amp;W Korea</t>
  </si>
  <si>
    <t xml:space="preserve">Photographer </t>
  </si>
  <si>
    <t>7/3/2019</t>
  </si>
  <si>
    <t xml:space="preserve">Photography service at Seoul &amp; Busan </t>
  </si>
  <si>
    <t>Photo Instant Printing &amp; Manpower at Seoul &amp;</t>
  </si>
  <si>
    <t xml:space="preserve">Busan </t>
  </si>
  <si>
    <t>(USD1,068.47 @ 4.1213)</t>
  </si>
  <si>
    <t>V2019/276</t>
  </si>
  <si>
    <t>The Plan Communication Co Ltd</t>
  </si>
  <si>
    <t xml:space="preserve">501, Jaejeong Blog </t>
  </si>
  <si>
    <t>8, Eonju-Ru</t>
  </si>
  <si>
    <t>129-GIL, Gangnam-Gu, Seoul</t>
  </si>
  <si>
    <t>Event Planning &amp; Operating</t>
  </si>
  <si>
    <t>Operator for Video</t>
  </si>
  <si>
    <t>Staffs</t>
  </si>
  <si>
    <t>Performance at Seoul &amp; Busan</t>
  </si>
  <si>
    <t xml:space="preserve">Other expenses </t>
  </si>
  <si>
    <t>Agent Fee</t>
  </si>
  <si>
    <t>8th April 2019</t>
  </si>
  <si>
    <t>V2019/315</t>
  </si>
  <si>
    <t>PGTEFT4028</t>
  </si>
  <si>
    <t>Noor Azman Bin Ahmad</t>
  </si>
  <si>
    <t>62-3-11 Pinang Court 2</t>
  </si>
  <si>
    <t>Lebuh Sungai Pinang 1</t>
  </si>
  <si>
    <t>Jelutong 11600 Penang</t>
  </si>
  <si>
    <t>28/3/2019</t>
  </si>
  <si>
    <t xml:space="preserve">LED Light for "I" Logo - Airport Brochure Rack </t>
  </si>
  <si>
    <t>PIFF Trade Mark Application</t>
  </si>
  <si>
    <t>Application &amp; filing of Trade Mark- Class 35</t>
  </si>
  <si>
    <t>Attenstation &amp; Statutory declaration</t>
  </si>
  <si>
    <t>Trade Mark search</t>
  </si>
  <si>
    <t>Printing &amp; stationery</t>
  </si>
  <si>
    <t>Travelling</t>
  </si>
  <si>
    <t>Disbursement : Filing Fee</t>
  </si>
  <si>
    <t>1/4/2019</t>
  </si>
  <si>
    <t>V2019/321</t>
  </si>
  <si>
    <t>PGTEFT4034</t>
  </si>
  <si>
    <t>Vietnam Int. Travel Mart Hanoi</t>
  </si>
  <si>
    <t>26/3/2019</t>
  </si>
  <si>
    <t>30001603</t>
  </si>
  <si>
    <t>Sending of promotion material to Hanoi - 120kgs</t>
  </si>
  <si>
    <t>30001620</t>
  </si>
  <si>
    <t>Application for censorship import license</t>
  </si>
  <si>
    <t>19/3/2019</t>
  </si>
  <si>
    <t>Top One Digitprint Sdn Bhd</t>
  </si>
  <si>
    <t>115-G-01, Kompleks Jalan Kedah</t>
  </si>
  <si>
    <t>Penang Int. Food Festival</t>
  </si>
  <si>
    <t>14/1/2019</t>
  </si>
  <si>
    <t>INV18-122</t>
  </si>
  <si>
    <t>(USD8,897.96 @ 4.1213)</t>
  </si>
  <si>
    <t>17th Apr 2019</t>
  </si>
  <si>
    <t>V2019/358</t>
  </si>
  <si>
    <t>PGTEFT4061</t>
  </si>
  <si>
    <t>V2019/359</t>
  </si>
  <si>
    <t>PGTEFT4062</t>
  </si>
  <si>
    <t>153034</t>
  </si>
  <si>
    <t xml:space="preserve">Streamer with piping </t>
  </si>
  <si>
    <t xml:space="preserve">Installation on Lamp Post Around Esplanade removal </t>
  </si>
  <si>
    <t>mininum charge</t>
  </si>
  <si>
    <t>Application for MBPP license</t>
  </si>
  <si>
    <t>License sticker for Mar, Apr &amp; May 2019</t>
  </si>
  <si>
    <t>Apr - June 2019</t>
  </si>
  <si>
    <t>(RM100,000 of total RM1.3 mil)</t>
  </si>
  <si>
    <t>Being 4th payment for PIFF 2019</t>
  </si>
  <si>
    <t>17/4/2019</t>
  </si>
  <si>
    <t>19/4/2019</t>
  </si>
  <si>
    <t>Wayee Group Sdn Bhd</t>
  </si>
  <si>
    <t>78, Jalan Gajah</t>
  </si>
  <si>
    <t xml:space="preserve">11200 Tanjung Bungah </t>
  </si>
  <si>
    <t>IV-1904-010</t>
  </si>
  <si>
    <t>Xiamen C&amp;D International Travel Service Group Co. Ltd</t>
  </si>
  <si>
    <t xml:space="preserve">10F C&amp;D International Building </t>
  </si>
  <si>
    <t>No.1699 Huandadong Rd</t>
  </si>
  <si>
    <t>Xiamen, China</t>
  </si>
  <si>
    <t>The 5th China Xiamen International Leisure Tourism Expo</t>
  </si>
  <si>
    <t>On 19-21 Apr 2019</t>
  </si>
  <si>
    <t>XMZL-C7-</t>
  </si>
  <si>
    <t>20190426-0001</t>
  </si>
  <si>
    <t>Booth rental (Raw Space)</t>
  </si>
  <si>
    <t>(USD5,400 @ 4.1283)</t>
  </si>
  <si>
    <t>V2019/303A</t>
  </si>
  <si>
    <t>2nd April 2019</t>
  </si>
  <si>
    <t>V2019/342</t>
  </si>
  <si>
    <t>Ink Publishing Pte Ltd</t>
  </si>
  <si>
    <t>51, Changi Business Park Central 2</t>
  </si>
  <si>
    <t>The Signature # 04-12</t>
  </si>
  <si>
    <t>486066 Singapore</t>
  </si>
  <si>
    <t>29/3/2019</t>
  </si>
  <si>
    <t>049294</t>
  </si>
  <si>
    <t>Qatar Airways - Oryx (Apr'19)</t>
  </si>
  <si>
    <t>(SGD9,300 @ 3.0722)</t>
  </si>
  <si>
    <t>048846</t>
  </si>
  <si>
    <t>S'pre airlines - SilverKrs (Apr'19)</t>
  </si>
  <si>
    <t>(SGD18,200 @ 3.0722)</t>
  </si>
  <si>
    <t>048823</t>
  </si>
  <si>
    <t>S'pre airlines - Silkwinds (Apr''19)</t>
  </si>
  <si>
    <t>(SGD3,000 @ 3.0722)</t>
  </si>
  <si>
    <t>V2019/343</t>
  </si>
  <si>
    <t>Xiamen Weichuang Exhibition Deisgn Co Ltd</t>
  </si>
  <si>
    <t>579, Qianpu East Road</t>
  </si>
  <si>
    <t>Siming District</t>
  </si>
  <si>
    <t>Xiamen City 361000</t>
  </si>
  <si>
    <t>on 19-21 April 2019</t>
  </si>
  <si>
    <t>5/4/2019</t>
  </si>
  <si>
    <t>Pro-forma Invoice</t>
  </si>
  <si>
    <t>Constriction, transportation,setup, installation,dismanting</t>
  </si>
  <si>
    <t xml:space="preserve">of booth </t>
  </si>
  <si>
    <t>(USD12,660 @ 4.1563)</t>
  </si>
  <si>
    <t>V2019/344</t>
  </si>
  <si>
    <t>Xiamen Panavico Customs Broker Co Ltd</t>
  </si>
  <si>
    <t>12F, Inspection &amp; Quartine And Customs Brokering</t>
  </si>
  <si>
    <t>Centre, Huli Xiamen</t>
  </si>
  <si>
    <t>China</t>
  </si>
  <si>
    <t>20190402-03</t>
  </si>
  <si>
    <t xml:space="preserve">Custom clearance fee </t>
  </si>
  <si>
    <t>USD408 @ 4.1563)</t>
  </si>
  <si>
    <t>Risegroupe Sdn Bhd</t>
  </si>
  <si>
    <t>91A, Lebuh Muntri</t>
  </si>
  <si>
    <t>Georgetown</t>
  </si>
  <si>
    <t xml:space="preserve"> - Penang Asia Comic Cultural Museum</t>
  </si>
  <si>
    <t xml:space="preserve"> - An Evening og Lights @ Khoo Kongsi </t>
  </si>
  <si>
    <t xml:space="preserve"> - Francis Light Cemetery Tour </t>
  </si>
  <si>
    <t xml:space="preserve"> - Facebook Ads</t>
  </si>
  <si>
    <t>Publicity - G'Town Festival</t>
  </si>
  <si>
    <t>Publicity - G'Town Heritage Celebration</t>
  </si>
  <si>
    <t>V2019/442</t>
  </si>
  <si>
    <t>17th May 2019</t>
  </si>
  <si>
    <t>Natthineethiti Phinyapincha</t>
  </si>
  <si>
    <t xml:space="preserve">Sathorn Residence (Room 203) </t>
  </si>
  <si>
    <t>59/1 Soi Yenchit 6</t>
  </si>
  <si>
    <t>Chan 24 Rd, Kweng Thungwatdon</t>
  </si>
  <si>
    <t>Khet Sathorn, Bangkok 10120</t>
  </si>
  <si>
    <t>V2019/443</t>
  </si>
  <si>
    <t>Shanghai Orange Restaurant Management Co Ltd</t>
  </si>
  <si>
    <t>501B, Block C New Century Plaza</t>
  </si>
  <si>
    <t>No.108 Lousan Guan Road</t>
  </si>
  <si>
    <t xml:space="preserve">Changning District Ct Shanghai </t>
  </si>
  <si>
    <t>ITB China 2019</t>
  </si>
  <si>
    <t>Food &amp; Beverages for networking session at ITB</t>
  </si>
  <si>
    <t>V2019/448</t>
  </si>
  <si>
    <t>Equivalent Amount With Source Account</t>
  </si>
  <si>
    <t>:  MYR  11,023.42</t>
  </si>
  <si>
    <t>Rate Type</t>
  </si>
  <si>
    <t>:   Counter Rate</t>
  </si>
  <si>
    <t>Bank Buy Rate(THB/MYR): 0.1221     Bank Sell Rate(THB/MYR): 0.1399</t>
  </si>
  <si>
    <t>27th May 2019</t>
  </si>
  <si>
    <t>15/5/2019</t>
  </si>
  <si>
    <t>V2019/468</t>
  </si>
  <si>
    <t>PGTEFT4155</t>
  </si>
  <si>
    <t>T-Shirt Lacoste Black Collar - 50% Balance</t>
  </si>
  <si>
    <t>T-Shirt Lacoste White Collar - 50% Balance</t>
  </si>
  <si>
    <t>Reimbuirsement :</t>
  </si>
  <si>
    <t>28/5/2019</t>
  </si>
  <si>
    <t>To supply &amp; install 1 pc sign for big cube @ Airport (Pg Durian Fest.)</t>
  </si>
  <si>
    <t>To supply &amp; install 1pc sign for small cube @ TIC (Pg Durian Fest.)</t>
  </si>
  <si>
    <t>Publicity - G'town Heritage Celebrations</t>
  </si>
  <si>
    <t xml:space="preserve">To supply &amp; install 1 pc sign for big cube @ Airport </t>
  </si>
  <si>
    <t xml:space="preserve">To supply &amp; install 1pc sign for small cube @ TIC </t>
  </si>
  <si>
    <t xml:space="preserve">Publicity  Pg Hill Festival </t>
  </si>
  <si>
    <t>Rapid Bus Wrap Production cost (8 buses)</t>
  </si>
  <si>
    <t>RBO11852</t>
  </si>
  <si>
    <t>Rapid CAT Bus Wrap Rental for 2 month (2 buses)</t>
  </si>
  <si>
    <t>Rapid CAT Bus Wrap Rental for 1 month (6 buses)</t>
  </si>
  <si>
    <t>via BizChannel</t>
  </si>
  <si>
    <t>V2019/440</t>
  </si>
  <si>
    <t>13th May 2019</t>
  </si>
  <si>
    <t>Uniholiday Co. Ltd</t>
  </si>
  <si>
    <t xml:space="preserve">Experience Penang 2020 : Penang Roadshow </t>
  </si>
  <si>
    <t>190419-009</t>
  </si>
  <si>
    <t>(USD1,870 @ 4.23849)</t>
  </si>
  <si>
    <t>Printing of photo wall, name card printing &amp; Translation</t>
  </si>
  <si>
    <t xml:space="preserve">of booklet &amp; video </t>
  </si>
  <si>
    <t>V2019/441</t>
  </si>
  <si>
    <t>126163616</t>
  </si>
  <si>
    <t>(GBP15,348.02 @ 5.3888)</t>
  </si>
  <si>
    <t>11th June 2019</t>
  </si>
  <si>
    <t>1/6/2019</t>
  </si>
  <si>
    <t>INV19-056</t>
  </si>
  <si>
    <t>Additional Events on 18/5/2019 - Wesak Day</t>
  </si>
  <si>
    <t>Last Fri, Sat &amp; Sun for the month</t>
  </si>
  <si>
    <t>Being payment for LFSS for May'19</t>
  </si>
  <si>
    <t>INV19-055</t>
  </si>
  <si>
    <t>Rapid Bus Wrap Rental for 1 month (2 buses)</t>
  </si>
  <si>
    <t>Rapid Bus Wrap Rental for 2 months (2 buses)</t>
  </si>
  <si>
    <t>V2019/518</t>
  </si>
  <si>
    <t>688406</t>
  </si>
  <si>
    <t>ITB China</t>
  </si>
  <si>
    <t>23/5/2019</t>
  </si>
  <si>
    <t>INV795/3181</t>
  </si>
  <si>
    <t>Additional charges for DHL (custom clearance)</t>
  </si>
  <si>
    <t>17th June 2019</t>
  </si>
  <si>
    <t>V2019/522</t>
  </si>
  <si>
    <t>12th June 2019</t>
  </si>
  <si>
    <t>Calendar of Event</t>
  </si>
  <si>
    <t>7/6/2019</t>
  </si>
  <si>
    <t>2019/12</t>
  </si>
  <si>
    <t>Printing of Foldable Calendar of Events (Thai)-500copies</t>
  </si>
  <si>
    <t>(THB25,750 @ 0.1412)</t>
  </si>
  <si>
    <t>V2019/533</t>
  </si>
  <si>
    <t>102158700</t>
  </si>
  <si>
    <t xml:space="preserve">Balancce payment Marketing partnernship with Qatar </t>
  </si>
  <si>
    <t>Airways Doha</t>
  </si>
  <si>
    <t>(USD7,069 @ 4.2297)</t>
  </si>
  <si>
    <t>24th June 2019</t>
  </si>
  <si>
    <t>V2019/551</t>
  </si>
  <si>
    <t>PGTEFT4216</t>
  </si>
  <si>
    <t xml:space="preserve">MAS China &amp; Sina Weibo KOLs Campaign </t>
  </si>
  <si>
    <t>on 24-29th June 2019</t>
  </si>
  <si>
    <t>12/6/2019</t>
  </si>
  <si>
    <t>Hotel Accommodation x 13 room nights</t>
  </si>
  <si>
    <t>PPH Plaza Sdn Bhd</t>
  </si>
  <si>
    <t xml:space="preserve">The Prestige Hotel </t>
  </si>
  <si>
    <t>8, Gat Lebuh Gereja</t>
  </si>
  <si>
    <t>V2019/569</t>
  </si>
  <si>
    <t>PGTEFT4229</t>
  </si>
  <si>
    <t>30th June 2019</t>
  </si>
  <si>
    <t>Being service rendered to PCET for June 2019</t>
  </si>
  <si>
    <t>(1st June 2019 - 16 June 2019)</t>
  </si>
  <si>
    <t>1st July 2019</t>
  </si>
  <si>
    <t>Jazz Hotel Penang Malaysia</t>
  </si>
  <si>
    <t>Sure Commerce Sdn Bhd</t>
  </si>
  <si>
    <t>No.1, Jalan Seri Tanjung Pinang 1,</t>
  </si>
  <si>
    <t xml:space="preserve">10470 Tanjung Tokong </t>
  </si>
  <si>
    <t>V2019/593</t>
  </si>
  <si>
    <t>PGTEFT4253</t>
  </si>
  <si>
    <t>EPY 2020 Raodshow - Bangkok</t>
  </si>
  <si>
    <t>dated 24.6.2019</t>
  </si>
  <si>
    <t xml:space="preserve"> - Purchase of sim card (TSP &amp; OCY)</t>
  </si>
  <si>
    <t xml:space="preserve"> - Wrapping service</t>
  </si>
  <si>
    <t>YZD Planning &amp; Consult</t>
  </si>
  <si>
    <t>NO.7-1, Jalan SR4/1E,</t>
  </si>
  <si>
    <t>Saujana Rawang</t>
  </si>
  <si>
    <t>Penang Tourism Mastrer Plan 2019-2030</t>
  </si>
  <si>
    <t>688422</t>
  </si>
  <si>
    <t>5/7/2019</t>
  </si>
  <si>
    <t>Penang Esports Festival 2019</t>
  </si>
  <si>
    <t>24th July 2019</t>
  </si>
  <si>
    <t>Via CIMB Bizchannel</t>
  </si>
  <si>
    <t>12/7/2019</t>
  </si>
  <si>
    <t xml:space="preserve">Being 3 months PMED vietnamese website maintenance from </t>
  </si>
  <si>
    <t>V2019/667</t>
  </si>
  <si>
    <t>PGTEFT4311</t>
  </si>
  <si>
    <t>Titanium Hibicus Sdn Bhd</t>
  </si>
  <si>
    <t xml:space="preserve">153F, Jalan Hutton </t>
  </si>
  <si>
    <t>10500 Penang</t>
  </si>
  <si>
    <t>Yahoo TV Online Program Shooting on 4th - 7th July 2019</t>
  </si>
  <si>
    <t>560</t>
  </si>
  <si>
    <t>(Food &amp; Beverages)</t>
  </si>
  <si>
    <t>Co host for Taiwan shooting with celebrities on 5/7/19</t>
  </si>
  <si>
    <t xml:space="preserve">Publicity - Experience Penang Year 2020 </t>
  </si>
  <si>
    <t>Universal Communications</t>
  </si>
  <si>
    <t>No.95,Sec.4, Nanjing E. Rd.</t>
  </si>
  <si>
    <t>Songshan Dist,</t>
  </si>
  <si>
    <t>Taipei City 105</t>
  </si>
  <si>
    <t>Experience Penang Year 2020 : Taipei Roadshow</t>
  </si>
  <si>
    <t xml:space="preserve">Being visual design, hardware production, Event activity </t>
  </si>
  <si>
    <t>B2B, Dinner session, and UC execution fee</t>
  </si>
  <si>
    <t>SL Electrical Engineering Sdn Bhd</t>
  </si>
  <si>
    <t>546-U, Lorong Sempadan Dua</t>
  </si>
  <si>
    <t>Jalan Padang Tembak</t>
  </si>
  <si>
    <t>Office Upkeep</t>
  </si>
  <si>
    <t>Persatuan Ibu Bapa dan Guru</t>
  </si>
  <si>
    <t>Sekolah Kebangsaan Jalan Residensi</t>
  </si>
  <si>
    <t>Tan Young Hean</t>
  </si>
  <si>
    <t>I/C : 920324-07-5845</t>
  </si>
  <si>
    <t>Tourism Executive</t>
  </si>
  <si>
    <t>12/8/2019</t>
  </si>
  <si>
    <t>8/8/2019</t>
  </si>
  <si>
    <t>23rd Aug 2019</t>
  </si>
  <si>
    <t>Unique Fiesta Sdn Bhd</t>
  </si>
  <si>
    <t>Suite 9-13A, Level 9</t>
  </si>
  <si>
    <t>Wisma UOA 11, Jalan Penang</t>
  </si>
  <si>
    <t>50450 Kuala Lumpur</t>
  </si>
  <si>
    <t>Penang Asia Comic Cultural Museum</t>
  </si>
  <si>
    <t>Lot Rental Sponsor to Penang Asia Comic Cultural</t>
  </si>
  <si>
    <t>Museum for :</t>
  </si>
  <si>
    <t>1/8/2019</t>
  </si>
  <si>
    <t>V2019/763</t>
  </si>
  <si>
    <t>PGTEFT4385</t>
  </si>
  <si>
    <t>SK Vacatub Sdn Bhd</t>
  </si>
  <si>
    <t>55100 Pudu KL</t>
  </si>
  <si>
    <t xml:space="preserve">China (Guangdong) International Tourism Industry Expo </t>
  </si>
  <si>
    <t>(CITIE) on 30th Aug - 1st Sept 2019</t>
  </si>
  <si>
    <t>1908001</t>
  </si>
  <si>
    <t xml:space="preserve">Outbound China Visa Double Entry - YP &amp; Leong Wei </t>
  </si>
  <si>
    <t>Leng</t>
  </si>
  <si>
    <t>10/8/2019</t>
  </si>
  <si>
    <t>V2019/767</t>
  </si>
  <si>
    <t>PGTEFT4389</t>
  </si>
  <si>
    <t>YK Curtain</t>
  </si>
  <si>
    <t>Kompleks Farlim Block 6-5-40/41/42</t>
  </si>
  <si>
    <t xml:space="preserve">Lebuhraya Thean Teik </t>
  </si>
  <si>
    <t>Tel : 012-426 8676</t>
  </si>
  <si>
    <t>Renovation - Tourist Information Centre</t>
  </si>
  <si>
    <t>190241</t>
  </si>
  <si>
    <t>To supply &amp; install curtain at TIC</t>
  </si>
  <si>
    <t xml:space="preserve"> - Cubicle Track W20' x 9'</t>
  </si>
  <si>
    <t xml:space="preserve"> - Cubicle Track W5' x 9'</t>
  </si>
  <si>
    <t>Fabric V63 Linen W20'</t>
  </si>
  <si>
    <t>Fabric V63 Linen W5'</t>
  </si>
  <si>
    <t>Installation Charges</t>
  </si>
  <si>
    <t>27th Aug 2019</t>
  </si>
  <si>
    <t>via CIMB BizChannel</t>
  </si>
  <si>
    <t>(Voucher No. A499761-499820)</t>
  </si>
  <si>
    <t>V2019/777</t>
  </si>
  <si>
    <t>PGTEFT4398</t>
  </si>
  <si>
    <t>15/8/2019</t>
  </si>
  <si>
    <t>Sekolah Menengah Kebangsaan Perempuan St. George</t>
  </si>
  <si>
    <t>PIBG SMJK Perempuan St. George</t>
  </si>
  <si>
    <t>Jalan Macalister</t>
  </si>
  <si>
    <t>SMKPSG(PEMB)100-1/1/6(44)</t>
  </si>
  <si>
    <t>Rental of car park on 9th &amp; 10th Feb 2019</t>
  </si>
  <si>
    <t>1908-0019</t>
  </si>
  <si>
    <t>Ads - Billboard/Bus Wrap/Cube</t>
  </si>
  <si>
    <t>1908-0020</t>
  </si>
  <si>
    <t>Experience Penang Year 2020</t>
  </si>
  <si>
    <t>Penang International Lion Dance on Stilts</t>
  </si>
  <si>
    <t>1908-0018</t>
  </si>
  <si>
    <t>Asian Food &amp; Culture Festival</t>
  </si>
  <si>
    <t>Penang Esports Festival</t>
  </si>
  <si>
    <t>1908-0017</t>
  </si>
  <si>
    <t>PT. Multi Kreasi Abadi Selaras</t>
  </si>
  <si>
    <t>Jl. Indragiri 12-18</t>
  </si>
  <si>
    <t>#A9 Surabaya</t>
  </si>
  <si>
    <t>60241 Indonesia</t>
  </si>
  <si>
    <t>V2019/747</t>
  </si>
  <si>
    <t>14th Aug 2019</t>
  </si>
  <si>
    <t>Balance payment RM60,000 of total RM150,000</t>
  </si>
  <si>
    <t>V2019/748</t>
  </si>
  <si>
    <t>WEEI/IX/2019/822</t>
  </si>
  <si>
    <t>World Education Expo Indonesia 2019 - Booth charges</t>
  </si>
  <si>
    <t>(USD7,100 @ 4.2537)</t>
  </si>
  <si>
    <t>12th Sept 2019</t>
  </si>
  <si>
    <t>China (Guangdong) International Tourism Industry Expo</t>
  </si>
  <si>
    <t>V2019/827</t>
  </si>
  <si>
    <t>PGTEFT4443</t>
  </si>
  <si>
    <t>&lt;Off the Grid&gt; HK TVB Program Shooting</t>
  </si>
  <si>
    <t>on 21st - 28th Aug 2019</t>
  </si>
  <si>
    <t>4/9/2019</t>
  </si>
  <si>
    <t>13778</t>
  </si>
  <si>
    <t>Hotel Accommodation x 14 room nights</t>
  </si>
  <si>
    <t>Hotel Fee</t>
  </si>
  <si>
    <t>TM Mega FAM Tour - It's Summer Time in Perak &amp; Penang</t>
  </si>
  <si>
    <t>on 2nd - 7th Sept 2019</t>
  </si>
  <si>
    <t>10/9/2019</t>
  </si>
  <si>
    <t>14641</t>
  </si>
  <si>
    <t>Dinner hosting on 6/9/2019 (16pax)</t>
  </si>
  <si>
    <t>26/8/2019</t>
  </si>
  <si>
    <t>Cititel Express</t>
  </si>
  <si>
    <t>123, Lebuh Noordin</t>
  </si>
  <si>
    <t>V2019/836</t>
  </si>
  <si>
    <t>PGTEFT4452</t>
  </si>
  <si>
    <t>INV/19/0206</t>
  </si>
  <si>
    <t>&amp; commisioning for Door Access</t>
  </si>
  <si>
    <t xml:space="preserve"> - Morning at The National Park</t>
  </si>
  <si>
    <t>V2019/848</t>
  </si>
  <si>
    <t>20th Sept 2019</t>
  </si>
  <si>
    <t>1/9/2019</t>
  </si>
  <si>
    <t>3 in 1 LED Billboard Ads @ Auto City, QBM &amp; RU</t>
  </si>
  <si>
    <t>PPM 1909/02</t>
  </si>
  <si>
    <t>LED billboard Ads @ Gurney Plaza for 1 month (Sept)</t>
  </si>
  <si>
    <t>PST Travel Services Sdn Bhd</t>
  </si>
  <si>
    <t>810 Block A, Phileo Damansara II</t>
  </si>
  <si>
    <t>15, Jalan 16/11</t>
  </si>
  <si>
    <t>Tel : 03-7628 9988</t>
  </si>
  <si>
    <t>V2019/876</t>
  </si>
  <si>
    <t>PGTEFT4487</t>
  </si>
  <si>
    <t>Shangri-La Hotels (Malaysia) Berhad</t>
  </si>
  <si>
    <t>Istabul "International Tourism Magazine" Media FAM</t>
  </si>
  <si>
    <t>on 28-31st Aug 2019</t>
  </si>
  <si>
    <t>232816</t>
  </si>
  <si>
    <t>Hotel Accommodation 6 room nights</t>
  </si>
  <si>
    <t>10% SST</t>
  </si>
  <si>
    <t>China (Guangdong) International Tourism Industry Expo (CITIE)</t>
  </si>
  <si>
    <t>on 30th Aug - 1st Sept 2019</t>
  </si>
  <si>
    <t>Rounding Adj.</t>
  </si>
  <si>
    <t>SST + Hotel Fee</t>
  </si>
  <si>
    <t>24th Sept 2019</t>
  </si>
  <si>
    <t>V2019/892</t>
  </si>
  <si>
    <t>6670 Jalan Bagan Ajam</t>
  </si>
  <si>
    <t>13000 Butterworth Pulau Pinang</t>
  </si>
  <si>
    <t>31/8/2019</t>
  </si>
  <si>
    <t>1908097</t>
  </si>
  <si>
    <t>Air Fare (OCY, LWL &amp; YP) PEN-GZ-PEN</t>
  </si>
  <si>
    <t>Hotel Accommodation (OCY,LWL &amp; YP)</t>
  </si>
  <si>
    <t>Coach Rental</t>
  </si>
  <si>
    <t>688461</t>
  </si>
  <si>
    <t>V2019/896A</t>
  </si>
  <si>
    <t>688462</t>
  </si>
  <si>
    <t>Point Cast (M) Sdn Bhd</t>
  </si>
  <si>
    <t>No.2A, Jalan 13/2, Seksyen 13</t>
  </si>
  <si>
    <t>46299 Petaling Jaya</t>
  </si>
  <si>
    <t>Publicity - Penang Esports Festival</t>
  </si>
  <si>
    <t>5/8/2019</t>
  </si>
  <si>
    <t>PCM10336</t>
  </si>
  <si>
    <t>Rapid Bus Wrap Rental for 1 months (5 buses)</t>
  </si>
  <si>
    <t>PCM10337</t>
  </si>
  <si>
    <t>Rapid Bus Wrap Production cost (5 buses)</t>
  </si>
  <si>
    <t>(-) Credit Note # 20-CN000005</t>
  </si>
  <si>
    <t>Late Installation</t>
  </si>
  <si>
    <t>V2019/805</t>
  </si>
  <si>
    <t>5th Sept 2019</t>
  </si>
  <si>
    <t>Ntour</t>
  </si>
  <si>
    <t>9F, Jung-An Bldg</t>
  </si>
  <si>
    <t>57-10 Seosomun-Dong</t>
  </si>
  <si>
    <t>Seoul 100-874, Korea</t>
  </si>
  <si>
    <t>Daewon Korea Student Group on 19-22nd July 2019</t>
  </si>
  <si>
    <t>13/8/2019</t>
  </si>
  <si>
    <t xml:space="preserve">Partial sponsorship for transportation </t>
  </si>
  <si>
    <t>Foreign Exchange Adj.</t>
  </si>
  <si>
    <t>Experience Penang 2020 - Indonesia Raodshow</t>
  </si>
  <si>
    <t>29/8/2019</t>
  </si>
  <si>
    <t>108/PGT/2019</t>
  </si>
  <si>
    <t>Balance payment for Indonesia Roadshow - 40%</t>
  </si>
  <si>
    <t>Additional pax for dinner on 21/8/2019</t>
  </si>
  <si>
    <t>3rd Oct 2019</t>
  </si>
  <si>
    <t>Silver Ant Activate Sdn Bhd</t>
  </si>
  <si>
    <t>Unit C-59-39</t>
  </si>
  <si>
    <t>Block Camilia 10 Boulevard</t>
  </si>
  <si>
    <t>Lebuhraya Sprint, PJU 6A</t>
  </si>
  <si>
    <t>47400 Petaling Jaya, Selangor</t>
  </si>
  <si>
    <t>ITB Asia 2019</t>
  </si>
  <si>
    <t>Booth Construction Space 9m x 7m</t>
  </si>
  <si>
    <t>Inclusive : Flooring, Set &amp; Production, Store room,</t>
  </si>
  <si>
    <t>Reception counter, Exhibitor Cluster, Graphics</t>
  </si>
  <si>
    <t xml:space="preserve">Light Fitting, Loose Furniture, AV Equipment </t>
  </si>
  <si>
    <t>Project Management</t>
  </si>
  <si>
    <t>Lifting Equipment &amp; Mobile Scoffolding and</t>
  </si>
  <si>
    <t>80% of total RM156,792</t>
  </si>
  <si>
    <t>V2019/883</t>
  </si>
  <si>
    <t>Tourism Section Consulate General of Malaysia Guangzhou</t>
  </si>
  <si>
    <t>(CITIE) on 30th Aug to 1st Sept 2019</t>
  </si>
  <si>
    <t>Ref : TOURISM.600-1/2</t>
  </si>
  <si>
    <t xml:space="preserve">Participation fee </t>
  </si>
  <si>
    <t>(USD8,600 @ 4.2387)</t>
  </si>
  <si>
    <t>7th Oct 2019</t>
  </si>
  <si>
    <t>via CIMB Bizchannel</t>
  </si>
  <si>
    <t>for 1 month (Oct)</t>
  </si>
  <si>
    <t>V2019/948</t>
  </si>
  <si>
    <t>688467</t>
  </si>
  <si>
    <t>2/10/2019</t>
  </si>
  <si>
    <t>SOZOINV021910002</t>
  </si>
  <si>
    <t>Final Payment</t>
  </si>
  <si>
    <t>11th Oct 2019</t>
  </si>
  <si>
    <t>27/9/2019</t>
  </si>
  <si>
    <t>V2019/961</t>
  </si>
  <si>
    <t>688468</t>
  </si>
  <si>
    <t>Pacific World Destination East Sdn Bhd</t>
  </si>
  <si>
    <t>Level 5 (Right) Block B, Wisma Perkeso</t>
  </si>
  <si>
    <t>269 Burma Road</t>
  </si>
  <si>
    <t>10538 Penang</t>
  </si>
  <si>
    <t>Tel : 04-376 1100</t>
  </si>
  <si>
    <t>Fax : 04-226 0411</t>
  </si>
  <si>
    <t>Asia Pacific Urban Forum (APUF-7) Technical Visit</t>
  </si>
  <si>
    <t>on 18th Oct 2019</t>
  </si>
  <si>
    <t>(Nature, Heritage&amp; Social Tour) - 9 coaches</t>
  </si>
  <si>
    <t>Transportation for APUF Technical visit - 360pax</t>
  </si>
  <si>
    <t>21st Oct 2019</t>
  </si>
  <si>
    <t>Redberry Sdn Bhd</t>
  </si>
  <si>
    <t>10/7/2019</t>
  </si>
  <si>
    <t>RB20/INV0032</t>
  </si>
  <si>
    <t>Rapid Bus Additional Logo for 5 buses</t>
  </si>
  <si>
    <t>V2019/967</t>
  </si>
  <si>
    <t>PGTEFT4557</t>
  </si>
  <si>
    <t>9/10/2019</t>
  </si>
  <si>
    <t>1910023</t>
  </si>
  <si>
    <t>(Black &amp; White)</t>
  </si>
  <si>
    <t>Customade Lacoste Collar T-Short - 150pcs @ RM23</t>
  </si>
  <si>
    <t>4/10/2019</t>
  </si>
  <si>
    <t xml:space="preserve"> - An Evening of Lights @ Khoo Kongsi </t>
  </si>
  <si>
    <t>29th Oct 2019</t>
  </si>
  <si>
    <t>V2019/984</t>
  </si>
  <si>
    <t>PGTEFT4571</t>
  </si>
  <si>
    <t>Asia Pacific Urban Forum Technical Visits</t>
  </si>
  <si>
    <t>11/10/2019</t>
  </si>
  <si>
    <t>IV-0107733</t>
  </si>
  <si>
    <t>30inch x 78inch Roll up stand - 2 pcs</t>
  </si>
  <si>
    <t>Postcard - Kopitiam Series RM5.60 x 2</t>
  </si>
  <si>
    <t>V2019/918</t>
  </si>
  <si>
    <t>Pico Art International Pte Ltd</t>
  </si>
  <si>
    <t>Pico Creative Centre</t>
  </si>
  <si>
    <t>20 Kallang Avenue</t>
  </si>
  <si>
    <t>Singapore 339411</t>
  </si>
  <si>
    <t>ITB Asia Singapore 2019</t>
  </si>
  <si>
    <t>19/9/2019</t>
  </si>
  <si>
    <t>82_19128B</t>
  </si>
  <si>
    <t>Show site charges - Electrical charges</t>
  </si>
  <si>
    <t xml:space="preserve">Per light fitting connection </t>
  </si>
  <si>
    <t>Airspace charges</t>
  </si>
  <si>
    <t>(SGD 8,815 @ 3.0812)</t>
  </si>
  <si>
    <t>V2019/920</t>
  </si>
  <si>
    <t>Pan Pacific Hotels Group Limited</t>
  </si>
  <si>
    <t>Parkroyal on Beach Road Singapore</t>
  </si>
  <si>
    <t>7500 Beach Road, Singapore 199591</t>
  </si>
  <si>
    <t>Penang Roadshow in Singapore on 15th Oct 2019</t>
  </si>
  <si>
    <t>BQ/BH/CKT/3997</t>
  </si>
  <si>
    <t>Room rental for roadshow on 15th Oct 2019</t>
  </si>
  <si>
    <t>Coaktail session</t>
  </si>
  <si>
    <t>Free flow of alcohol</t>
  </si>
  <si>
    <t>(SGD 30,013.50 @ 3.07199)</t>
  </si>
  <si>
    <t>Qatar Airways - Oryx (Oct'19)</t>
  </si>
  <si>
    <t>(SGD9,300 @ 3.0631)</t>
  </si>
  <si>
    <t>27/6/2019</t>
  </si>
  <si>
    <t>052537</t>
  </si>
  <si>
    <t>S'pre airlines - SilverKrs (July'19)</t>
  </si>
  <si>
    <t>(SGD18,200 @ 3.064)</t>
  </si>
  <si>
    <t>052516</t>
  </si>
  <si>
    <t>S'pre airlines - Silkwinds (July'19)</t>
  </si>
  <si>
    <t>V2019/947</t>
  </si>
  <si>
    <t>Trustwin Communications</t>
  </si>
  <si>
    <t>on 24th - 29th June 2019</t>
  </si>
  <si>
    <t>2019091901</t>
  </si>
  <si>
    <t xml:space="preserve">KOLs Management and Planning Fee with Trustwin </t>
  </si>
  <si>
    <t>Groups</t>
  </si>
  <si>
    <t>31st Oct 2019</t>
  </si>
  <si>
    <t>V2019/723</t>
  </si>
  <si>
    <t>PGTEFT4354</t>
  </si>
  <si>
    <t>V2019/1008</t>
  </si>
  <si>
    <t>PGTEFT4590</t>
  </si>
  <si>
    <t>Tour East (2009) Sdn Bhd</t>
  </si>
  <si>
    <t>Unit 6.04, Level 6, Amoda</t>
  </si>
  <si>
    <t>22 Jalan Imbi</t>
  </si>
  <si>
    <t>Tel : 03-2712 9993</t>
  </si>
  <si>
    <t>25/10/2019</t>
  </si>
  <si>
    <t>112593</t>
  </si>
  <si>
    <t>MHTC Media FAM Trip Tour Guide Fee for 2 days</t>
  </si>
  <si>
    <t>V2018/1203</t>
  </si>
  <si>
    <t>PGTEFT3776</t>
  </si>
  <si>
    <t>1st Nov 2019</t>
  </si>
  <si>
    <t>19610</t>
  </si>
  <si>
    <t>Guide fee on 30/10/2018</t>
  </si>
  <si>
    <t>Guide fee on 1/11/2018</t>
  </si>
  <si>
    <t>Guide fee on 2/11/2018</t>
  </si>
  <si>
    <t>Guide fee on 5/9/2019</t>
  </si>
  <si>
    <t>Guide fee on 7/9/2019</t>
  </si>
  <si>
    <t>Guide fee on 14/9/2019</t>
  </si>
  <si>
    <t>Playdestinations Sdn Bhd</t>
  </si>
  <si>
    <t>Level 12A-H Wisma Boon Siew</t>
  </si>
  <si>
    <t>No.1, Penang Road</t>
  </si>
  <si>
    <t xml:space="preserve">10000 George Town </t>
  </si>
  <si>
    <t>Publicity - GTLF</t>
  </si>
  <si>
    <t>V2019/1030</t>
  </si>
  <si>
    <t>PGTEFT4610</t>
  </si>
  <si>
    <t>The Eksentrika</t>
  </si>
  <si>
    <t xml:space="preserve">34, Lebuh Bulan </t>
  </si>
  <si>
    <t>Taman Kinta</t>
  </si>
  <si>
    <t>171019</t>
  </si>
  <si>
    <t>Online advertising via The Eksentrika for GTLF 2019</t>
  </si>
  <si>
    <t>Silver Ant Activate Pte Ltd</t>
  </si>
  <si>
    <t>7030, Ang Mo Kio Avenue 5</t>
  </si>
  <si>
    <t>#09-90 Northstar @ AMK</t>
  </si>
  <si>
    <t>56980 Singapore</t>
  </si>
  <si>
    <t>Experience Penang Roadshow in Singapore</t>
  </si>
  <si>
    <t>fee, event management fee</t>
  </si>
  <si>
    <t xml:space="preserve">Set &amp; Production, graphics, AV equipment, </t>
  </si>
  <si>
    <t xml:space="preserve">talent &amp; entertainment, Other &amp; misc., media management </t>
  </si>
  <si>
    <t>(80% of total RM163,000)</t>
  </si>
  <si>
    <t>(20% of total RM163,000)</t>
  </si>
  <si>
    <t>Denmark</t>
  </si>
  <si>
    <t>V2019/992</t>
  </si>
  <si>
    <t>Collaboration with Singapore Airlines Denmark - Danish</t>
  </si>
  <si>
    <t>Travel Award 2019</t>
  </si>
  <si>
    <t>1800220001</t>
  </si>
  <si>
    <t>Gold sponsor to Danish Travel Awards 2019</t>
  </si>
  <si>
    <t>(DKK 50,000 @ 0.630514)</t>
  </si>
  <si>
    <t>1/11/2019</t>
  </si>
  <si>
    <t>18th Nov 2019</t>
  </si>
  <si>
    <t>V2019/1053</t>
  </si>
  <si>
    <t>PGTEFT4631</t>
  </si>
  <si>
    <t>Oct - Dec 2019</t>
  </si>
  <si>
    <t>via CIMB bizChannel</t>
  </si>
  <si>
    <t>SMKTPH 800-1/2(2)</t>
  </si>
  <si>
    <t>Rental of car park space on 9 &amp; 10 Feb 2019</t>
  </si>
  <si>
    <t>21st Nov 2019</t>
  </si>
  <si>
    <t>11/11/2019</t>
  </si>
  <si>
    <t>1114</t>
  </si>
  <si>
    <t>Study Penang</t>
  </si>
  <si>
    <t>Period : 27/12/2019-26/12/2019</t>
  </si>
  <si>
    <t>15/11/2019</t>
  </si>
  <si>
    <t>12/11/2019</t>
  </si>
  <si>
    <t>1157</t>
  </si>
  <si>
    <t>Website content translation (Eng&gt;Mandarin)</t>
  </si>
  <si>
    <t>Website content translation (Eng&gt;Indon)</t>
  </si>
  <si>
    <t>40th CATA Annual Technical Conference 2019</t>
  </si>
  <si>
    <t>6/11/2019</t>
  </si>
  <si>
    <t>16/11/2019</t>
  </si>
  <si>
    <t>Guide fee on 16/11/2019</t>
  </si>
  <si>
    <t>V2019/1093</t>
  </si>
  <si>
    <t>PGTEFT4666</t>
  </si>
  <si>
    <t>031/2019</t>
  </si>
  <si>
    <t>26th Nov 2019</t>
  </si>
  <si>
    <t>19/11/2019</t>
  </si>
  <si>
    <t xml:space="preserve"> - Rounding Adj.</t>
  </si>
  <si>
    <t>V2019/1106</t>
  </si>
  <si>
    <t>Redberry Outdoors Sdn Bhd</t>
  </si>
  <si>
    <t>Redberry City</t>
  </si>
  <si>
    <t>Lot 2A, Jaan 13/2</t>
  </si>
  <si>
    <t>46200 Petaling Jaya, Selangor</t>
  </si>
  <si>
    <t>2nd Dec 2019</t>
  </si>
  <si>
    <t>Kompang performance on 9/11/19 (Sun Princess)</t>
  </si>
  <si>
    <t>Kompang performance on 18/11/19 (Quantum of the sea)</t>
  </si>
  <si>
    <t>Kompang performance on 23/11/19 (Quantum of the sea)</t>
  </si>
  <si>
    <t>20/11/2019</t>
  </si>
  <si>
    <t>Seven Terraces Sdn Bhd</t>
  </si>
  <si>
    <t>V2019/1136</t>
  </si>
  <si>
    <t>Wak Long Music &amp; Art Centre</t>
  </si>
  <si>
    <t>79D-3-15, Jalan Sungai Dua</t>
  </si>
  <si>
    <t>11700 Gelugor Pulau Pinang</t>
  </si>
  <si>
    <t>Tel : 019-510 6945</t>
  </si>
  <si>
    <t>200216</t>
  </si>
  <si>
    <t>Music Gamelan Performances on 13/11/2019</t>
  </si>
  <si>
    <t>688489</t>
  </si>
  <si>
    <t>RBO11926</t>
  </si>
  <si>
    <t>Rapid Bus Wrap Production (6 buses) - 2 weeks</t>
  </si>
  <si>
    <t>RBO11927</t>
  </si>
  <si>
    <t>Rapid Bus Wrap Rental (6 buses) - 2 weeks</t>
  </si>
  <si>
    <t>V2019/1125</t>
  </si>
  <si>
    <t>PGTEFT4692</t>
  </si>
  <si>
    <t>11th Dec 2019</t>
  </si>
  <si>
    <t>21/11/2019</t>
  </si>
  <si>
    <t>V2019/1167</t>
  </si>
  <si>
    <t>PGTEFT4728</t>
  </si>
  <si>
    <t xml:space="preserve">Tourism Malaysia Aseanmeet 2019 Post Tour FAM </t>
  </si>
  <si>
    <t>to Penang on 19-21st Nov 2019</t>
  </si>
  <si>
    <t>520659</t>
  </si>
  <si>
    <t>Hotel accommodation - 12 room x 1 night</t>
  </si>
  <si>
    <t>2/12/2019</t>
  </si>
  <si>
    <t>Trip4asia Holiday Sdn Bhd</t>
  </si>
  <si>
    <t>No.22 Jalan Usahawan 2</t>
  </si>
  <si>
    <t>Kawasan Perusahaan Setapak</t>
  </si>
  <si>
    <t>53200 Kuala Lumpur</t>
  </si>
  <si>
    <t>Tel : 1300 80 3636</t>
  </si>
  <si>
    <t>V2019/1182</t>
  </si>
  <si>
    <t>688498</t>
  </si>
  <si>
    <t>9/12/2019</t>
  </si>
  <si>
    <t>2138</t>
  </si>
  <si>
    <t>in Dec'19 issue</t>
  </si>
  <si>
    <t>Booth construction space 9m x 7m</t>
  </si>
  <si>
    <t>Inclusive : Flooring, set &amp; production, store room,</t>
  </si>
  <si>
    <t>reception counter, exhibitor cluster, graphics, light fitting,</t>
  </si>
  <si>
    <t xml:space="preserve">loose furniture, AV equipment, lifting equipment &amp; </t>
  </si>
  <si>
    <t>mobile scoffolding and project management</t>
  </si>
  <si>
    <t>20% of total RM156,792</t>
  </si>
  <si>
    <t>V2019/1185</t>
  </si>
  <si>
    <t>688501</t>
  </si>
  <si>
    <t>DN20-01819</t>
  </si>
  <si>
    <t>DN20-01828</t>
  </si>
  <si>
    <t>Group Hospitalize &amp; Surgical - Oh Chin Nee</t>
  </si>
  <si>
    <t>Group Term Life - Oh Chin Nee</t>
  </si>
  <si>
    <t>DN20-01803</t>
  </si>
  <si>
    <t xml:space="preserve">Group Hospitalize &amp; Surgical - 21pax </t>
  </si>
  <si>
    <t xml:space="preserve">Group Out-patient clinical </t>
  </si>
  <si>
    <t>DN20-01804</t>
  </si>
  <si>
    <t>Group Term Life - 21 pax</t>
  </si>
  <si>
    <t>Insurance 2020</t>
  </si>
  <si>
    <t>Insurance 2019</t>
  </si>
  <si>
    <t>16th Dec 2019</t>
  </si>
  <si>
    <t>V2019/1198</t>
  </si>
  <si>
    <t>PGTEFT4741</t>
  </si>
  <si>
    <t>Tan Chong Ekpress Auto Servis Sdn Bhd</t>
  </si>
  <si>
    <t>127, Jalan Patani</t>
  </si>
  <si>
    <t>Tel : 04-281 6410</t>
  </si>
  <si>
    <t>Insurance - Company Car</t>
  </si>
  <si>
    <t>Quotation No.D000637324</t>
  </si>
  <si>
    <t>Basic Premium (Sum insured RM113,000)</t>
  </si>
  <si>
    <t>(-) NCD</t>
  </si>
  <si>
    <t>Extra benefits (all drivers, flood, storm,LLOP, LLP &amp; etc)</t>
  </si>
  <si>
    <t xml:space="preserve">Service Tax 6% </t>
  </si>
  <si>
    <t>(Period : 29 Jan 2020 - 28 Jan 2021)</t>
  </si>
  <si>
    <t>V2019/1095</t>
  </si>
  <si>
    <t>Tourist Information Service</t>
  </si>
  <si>
    <t>1F, Jin-Hyun B/D</t>
  </si>
  <si>
    <t>92 Yeon-Buk Ro</t>
  </si>
  <si>
    <t xml:space="preserve">Jeju-city </t>
  </si>
  <si>
    <t>Jeju Korea</t>
  </si>
  <si>
    <t xml:space="preserve">Joint Promotion with AirAsia X Busan and Travel </t>
  </si>
  <si>
    <t>Agencies for Penang</t>
  </si>
  <si>
    <t>Joint promotion campaign for KCTV jeju TV,</t>
  </si>
  <si>
    <t>Commercial on Newspaper &amp; Social Media</t>
  </si>
  <si>
    <t>from Aug - Dec 2019</t>
  </si>
  <si>
    <t>(KRW5,000,000 = USD 4,207.74 @ 4.1897)</t>
  </si>
  <si>
    <t>18th Dec 2019</t>
  </si>
  <si>
    <t>V2019/1210</t>
  </si>
  <si>
    <t>PGTEFT4751</t>
  </si>
  <si>
    <t>Lotus Tours Hong Kong Agents FAM on 4-7th Dec 2019</t>
  </si>
  <si>
    <t>10/12/2019</t>
  </si>
  <si>
    <t>FT171567</t>
  </si>
  <si>
    <t xml:space="preserve">Dinner hosting at The Top on 4/12/2019 (25 pax) &amp; </t>
  </si>
  <si>
    <t>skywalk (24 pax)</t>
  </si>
  <si>
    <t>Dinner hosting at Bali Hai on 5/12/2019 (24 pax)</t>
  </si>
  <si>
    <t>30/11/2019</t>
  </si>
  <si>
    <t>13/12/2019</t>
  </si>
  <si>
    <t>688503</t>
  </si>
  <si>
    <t>Last Fri, Sat &amp; Sun for the month - Dec'19</t>
  </si>
  <si>
    <t>12/12/2019</t>
  </si>
  <si>
    <t>01/12/19</t>
  </si>
  <si>
    <t>Rental of Courtyard on 28/12/2019</t>
  </si>
  <si>
    <t>V2019/1220</t>
  </si>
  <si>
    <t>31st Dec 2019</t>
  </si>
  <si>
    <t>via CIM BizChannel</t>
  </si>
  <si>
    <t>24/12/2019</t>
  </si>
  <si>
    <t>V2019/1257</t>
  </si>
  <si>
    <t>PGTEFT4793</t>
  </si>
  <si>
    <t>Performance on 9/12/2019 (Genting Dream)</t>
  </si>
  <si>
    <t>Performance on 17/12/2019 (Genting Dream)</t>
  </si>
  <si>
    <t>Performance on 23/12/2019 (Genting Dream)</t>
  </si>
  <si>
    <t>dated 18.12.2019</t>
  </si>
  <si>
    <t>V2019/1259</t>
  </si>
  <si>
    <t>PGTEFT4795</t>
  </si>
  <si>
    <t>Rainbow Leisure Sdn Bhd</t>
  </si>
  <si>
    <t xml:space="preserve">V02-07-03, Sunway Velocity Shop Office </t>
  </si>
  <si>
    <t>Lingkaran SV</t>
  </si>
  <si>
    <t xml:space="preserve">51000 Kuala Lumpur </t>
  </si>
  <si>
    <t>Shenzhen Airlines Travel Agents FAM on 18th - 23rd Dec 2019</t>
  </si>
  <si>
    <t xml:space="preserve"> - Dinner hosting on 18/12/2019 (20 pax)</t>
  </si>
  <si>
    <t xml:space="preserve"> - Trishaw ride on 22/12/2019 (20 pax)</t>
  </si>
  <si>
    <t>V2019/1261</t>
  </si>
  <si>
    <t>PGTEFT4797</t>
  </si>
  <si>
    <t>Tan JiShen</t>
  </si>
  <si>
    <t>I/C : 960504-07-5574</t>
  </si>
  <si>
    <t>Designer</t>
  </si>
  <si>
    <t xml:space="preserve">Being design fee for amendments and final output </t>
  </si>
  <si>
    <t>file for Calendar of Events 2020</t>
  </si>
  <si>
    <t>S'pre airlines - SilverKrs (Oct'19)</t>
  </si>
  <si>
    <t>(SGD18,200 @ 3.081)</t>
  </si>
  <si>
    <t>S'pre airlines - Silkwinds (Oct'19)</t>
  </si>
  <si>
    <t>(SGD3,000 @ 3.081)</t>
  </si>
  <si>
    <t>V2019/1192</t>
  </si>
  <si>
    <t>Shanghai Ctrip Commercer Co. Ltd</t>
  </si>
  <si>
    <t>6/12/2019</t>
  </si>
  <si>
    <t xml:space="preserve">Trip.com </t>
  </si>
  <si>
    <t>Marketing Campaign with Trip.com from July-Oct 2019</t>
  </si>
  <si>
    <t>2019012631</t>
  </si>
  <si>
    <t>Campaign fee with Trip.com from July to Oct 2019</t>
  </si>
  <si>
    <t>994, Bendemeer Road</t>
  </si>
  <si>
    <t>#06-06, B-Central</t>
  </si>
  <si>
    <t>Singapore 339943</t>
  </si>
  <si>
    <t xml:space="preserve">Advertorial in Qantas Inflight Magazine (Dec'19) </t>
  </si>
  <si>
    <t>(SGD11,828.42 @ 3.075)</t>
  </si>
  <si>
    <t>(by Hotel Fee)</t>
  </si>
  <si>
    <t>(USD 28,485.02 @ 4.1607)</t>
  </si>
  <si>
    <t>V2019/1221</t>
  </si>
  <si>
    <t xml:space="preserve">50% balance for Rental of venue </t>
  </si>
  <si>
    <t>50% balance for Event Project Management</t>
  </si>
  <si>
    <t>50% balance for PR Management fee</t>
  </si>
  <si>
    <t>V2019/1222</t>
  </si>
  <si>
    <t>Tek Travels DMCC</t>
  </si>
  <si>
    <t xml:space="preserve">TBO Holidays </t>
  </si>
  <si>
    <t>Tactical Campaign</t>
  </si>
  <si>
    <t>MS/20190612</t>
  </si>
  <si>
    <t xml:space="preserve">Tactical Campaign with TBO Academy for Penang </t>
  </si>
  <si>
    <t xml:space="preserve">Campaign (6 months) - 50% payment </t>
  </si>
  <si>
    <t xml:space="preserve">(USD10,000 @ </t>
  </si>
  <si>
    <t xml:space="preserve">Advertorial in Sawasdee Inflight Magazine (Dec'19) </t>
  </si>
  <si>
    <t>7th Jan 2020</t>
  </si>
  <si>
    <t>V2020/013</t>
  </si>
  <si>
    <t>PGTEFT4817</t>
  </si>
  <si>
    <t>Qingdao Airlines Fujian China Agents FAM on 10-14th Dec 2019</t>
  </si>
  <si>
    <t>17/12/2019</t>
  </si>
  <si>
    <t>DIT4H0432</t>
  </si>
  <si>
    <t>Co-host meals arrangement (14 pax)</t>
  </si>
  <si>
    <t>Publicity - Hot Air Balloon</t>
  </si>
  <si>
    <t>To supply &amp; install 1pc sign for small cube @ TIC (CNY Celebrations)</t>
  </si>
  <si>
    <t>Pixio Sdn Bhd</t>
  </si>
  <si>
    <t>No.32 Jalan 223</t>
  </si>
  <si>
    <t>Section 51A, 46100 Petaling Jaya</t>
  </si>
  <si>
    <t>Tel : 03-7955 1888</t>
  </si>
  <si>
    <t>Booth construction space 9m x 6m</t>
  </si>
  <si>
    <t>V2019/1272</t>
  </si>
  <si>
    <t>Tactical Campaign - Japan</t>
  </si>
  <si>
    <t>Joint promotion with ST World Japan Dec 2019-Sept 2020</t>
  </si>
  <si>
    <t>(JPY 900,000 @ 0.038255)</t>
  </si>
  <si>
    <t>Smart Way Travel Co. Ltd</t>
  </si>
  <si>
    <t>Room No. 1208 (A), Yuzana Tower</t>
  </si>
  <si>
    <t>Shwegonedine Road</t>
  </si>
  <si>
    <t>Bahan Township, Yangon, Myanmar</t>
  </si>
  <si>
    <t>Being transportation during high school visit and</t>
  </si>
  <si>
    <t>Penang Education Fair in Mandalay</t>
  </si>
  <si>
    <t>50% payment for Douyin Campaign</t>
  </si>
  <si>
    <t xml:space="preserve">at GD, Sichuang, Beijing, Shanghai, Xiamen, Kunming </t>
  </si>
  <si>
    <t>50% payment for other media advertisement</t>
  </si>
  <si>
    <t xml:space="preserve">50% payment for Flight Tickets </t>
  </si>
  <si>
    <t>(USD37,300 @ 4.1213)</t>
  </si>
  <si>
    <t>V2019/1275</t>
  </si>
  <si>
    <t>PT Radio Salvatore Surabaya</t>
  </si>
  <si>
    <t>Jl. Darmo Permai Utara 74-80</t>
  </si>
  <si>
    <t>Surabaya 60226</t>
  </si>
  <si>
    <t>SNRSBY-2019-142</t>
  </si>
  <si>
    <t>Radio Talkshow in Indonesia (Station Sonara)</t>
  </si>
  <si>
    <t>Nov &amp; Dec 2019</t>
  </si>
  <si>
    <t>V2019/1277</t>
  </si>
  <si>
    <t>Asean Tourism Forum 2020</t>
  </si>
  <si>
    <t>4/11/2019</t>
  </si>
  <si>
    <t>ATF20-429</t>
  </si>
  <si>
    <t xml:space="preserve">Exhibition Booth </t>
  </si>
  <si>
    <t>Full Delegate (6 sets)</t>
  </si>
  <si>
    <t xml:space="preserve">Co-Delegate (4 sets) </t>
  </si>
  <si>
    <t>(USD 24,625 @ 4.1377)</t>
  </si>
  <si>
    <t>Admin Charge</t>
  </si>
  <si>
    <t>Hot Air Balloon 2020</t>
  </si>
  <si>
    <t>3/1/2020</t>
  </si>
  <si>
    <t>Domain &amp; Hosting for www.pcet.my</t>
  </si>
  <si>
    <t>Period : 26/2/2020 - 25/2/2021</t>
  </si>
  <si>
    <t>(Period : Jan - Jun 2020)</t>
  </si>
  <si>
    <t>6% ST</t>
  </si>
  <si>
    <t>INV20-001</t>
  </si>
  <si>
    <t>Being payment for LFSS for Dec'19</t>
  </si>
  <si>
    <t>16th Jan 2020</t>
  </si>
  <si>
    <t>V2020/050</t>
  </si>
  <si>
    <t>688511</t>
  </si>
  <si>
    <t>1800007571</t>
  </si>
  <si>
    <t>Bus Charter on 1st &amp; 2nd Feb 2020 (7 buses)</t>
  </si>
  <si>
    <t>30th Jan 2020</t>
  </si>
  <si>
    <t>3 in 1 LED Billboard Ads @ Auto City, QBM,Raja Uda</t>
  </si>
  <si>
    <t>13/1/2020</t>
  </si>
  <si>
    <t>V2020/073</t>
  </si>
  <si>
    <t>PGTEFT4863</t>
  </si>
  <si>
    <t xml:space="preserve">The Malaysian Book of Tourist </t>
  </si>
  <si>
    <t>Suite No.55C, Jalan Diplomatik</t>
  </si>
  <si>
    <t>Presint 15</t>
  </si>
  <si>
    <t>62050 Putrajaya</t>
  </si>
  <si>
    <t>Tel : 03-8881 1598</t>
  </si>
  <si>
    <t>MBOT/SH/1202</t>
  </si>
  <si>
    <t xml:space="preserve">A4 Full page colour ads on The Malaysian Book of </t>
  </si>
  <si>
    <t>Tourist (Special Edition) Visit Malaysia 2020</t>
  </si>
  <si>
    <t>Publicity - EPY Events</t>
  </si>
  <si>
    <t>To supply &amp; install 1 pc sign for big cube @ Airport (EPYCoastal Run)</t>
  </si>
  <si>
    <t>To supply &amp; install top surface for big cube @ Airport (EPYCoastal Run)</t>
  </si>
  <si>
    <t>To supply &amp; install top surface for small cube @ TIC</t>
  </si>
  <si>
    <t>Memo dated 12.12.2019</t>
  </si>
  <si>
    <t>7th Feb 2020</t>
  </si>
  <si>
    <t>Kompang performance on 20/1/2020 (Genting Dream)</t>
  </si>
  <si>
    <t>Kompang performance on 24/1/2020 (Genting Dream)</t>
  </si>
  <si>
    <t>Kompang performance on 27/1/2020 (Aida Bella)</t>
  </si>
  <si>
    <t>1/2/2020</t>
  </si>
  <si>
    <t>V2020/106</t>
  </si>
  <si>
    <t>PGTEFT4893</t>
  </si>
  <si>
    <t>IV-ADMIN01453</t>
  </si>
  <si>
    <t>Ambulance for 2 days</t>
  </si>
  <si>
    <t>Driver &amp; crews for 2 days (3 pax)</t>
  </si>
  <si>
    <t>Food allowance for 2 days (9 pax)</t>
  </si>
  <si>
    <t>V2020/111</t>
  </si>
  <si>
    <t>PGTEFT4898</t>
  </si>
  <si>
    <t>128229</t>
  </si>
  <si>
    <t>Rental of mobile toilet and other equipment</t>
  </si>
  <si>
    <t>on 1/2/2020-2/2/2020</t>
  </si>
  <si>
    <t>V2020/119</t>
  </si>
  <si>
    <t>PGTEFT4906</t>
  </si>
  <si>
    <t>28/1/20202</t>
  </si>
  <si>
    <t>Guide fee on 20/1/2020 - 2 hours</t>
  </si>
  <si>
    <t>Guide fee on 24/1/2020 - 2 hours</t>
  </si>
  <si>
    <t>V2020/122</t>
  </si>
  <si>
    <t>688518</t>
  </si>
  <si>
    <t>Prasarana Integrated Development Sdn Bhd</t>
  </si>
  <si>
    <t>B-20-1 Level 20</t>
  </si>
  <si>
    <t>Menara UOA Bangsar</t>
  </si>
  <si>
    <t>No.5, Jalan Bangsar Utama 1,</t>
  </si>
  <si>
    <t>1800012319</t>
  </si>
  <si>
    <t>Rapid Bus Wrap Rental for 1 month (6 buses)</t>
  </si>
  <si>
    <t>10th Jan 2020</t>
  </si>
  <si>
    <t>V2020/026</t>
  </si>
  <si>
    <t>EPY Roadshow - Singaopre</t>
  </si>
  <si>
    <t>15/12/2019</t>
  </si>
  <si>
    <t>025/19</t>
  </si>
  <si>
    <t>Variation Order - Tapping of radio programme on CNA938</t>
  </si>
  <si>
    <t>Eat Drink SG on 17/10/2019</t>
  </si>
  <si>
    <t>17th Feb 2020</t>
  </si>
  <si>
    <t xml:space="preserve">Renewal of pgt-gallery.com (image library) support &amp; </t>
  </si>
  <si>
    <t xml:space="preserve">maintenance fee </t>
  </si>
  <si>
    <t>(Period : 1/12/2019 - 30/11/2020)</t>
  </si>
  <si>
    <t>Upgrading from shared hosting to business premium</t>
  </si>
  <si>
    <t xml:space="preserve">hosting </t>
  </si>
  <si>
    <t>(-) Shared hosting renewal fees paid</t>
  </si>
  <si>
    <t>V2020/144</t>
  </si>
  <si>
    <t>PGTEFT4929</t>
  </si>
  <si>
    <t>Tutucars Sdn Bhd</t>
  </si>
  <si>
    <t>7593, 2nd Floor Pangsapuri Mesra Jaya</t>
  </si>
  <si>
    <t>Lorong Mesra Permai</t>
  </si>
  <si>
    <t>7/2/2020</t>
  </si>
  <si>
    <t>T200113-01</t>
  </si>
  <si>
    <t>Car wrap 4 door package (5 cars) for 1 month</t>
  </si>
  <si>
    <t>(Period : 8/2/2020 - 8/3/2020)</t>
  </si>
  <si>
    <t>V2020/149</t>
  </si>
  <si>
    <t>688520</t>
  </si>
  <si>
    <t>ShenZhen Airlines Agents FAM on 3rd -6th Jan 2020</t>
  </si>
  <si>
    <t>7/1/2020</t>
  </si>
  <si>
    <t>DITYE7504</t>
  </si>
  <si>
    <t>Transportation, guide, meals &amp; entrance fees for 4 days</t>
  </si>
  <si>
    <t>(IDR 203,500,000 @ 0.00011)</t>
  </si>
  <si>
    <t>24th Feb 2020</t>
  </si>
  <si>
    <t>Transportation &amp; guide for 3 days (10pax)</t>
  </si>
  <si>
    <t>Trishaw ride (10pax)</t>
  </si>
  <si>
    <t>Meals arrangement (10 pax)</t>
  </si>
  <si>
    <t>Cycling tour (10pax)</t>
  </si>
  <si>
    <t>V2020/161</t>
  </si>
  <si>
    <t>PGTEFT4937</t>
  </si>
  <si>
    <t>Project Root 2 Sdn Bhd</t>
  </si>
  <si>
    <t xml:space="preserve">Paper + Toast </t>
  </si>
  <si>
    <t>Bangunan UAB</t>
  </si>
  <si>
    <t>Gat Lebuh China</t>
  </si>
  <si>
    <t>Tourism Malaysia Townhall Tourism Recovery Action</t>
  </si>
  <si>
    <t>Roadshow on 15th Feb 2020</t>
  </si>
  <si>
    <t>14/2/2020</t>
  </si>
  <si>
    <t>PT-2 20 02 004</t>
  </si>
  <si>
    <t>Co-share event space, AV system &amp; furniture</t>
  </si>
  <si>
    <t>on 15/2/2020</t>
  </si>
  <si>
    <t>27th Feb 2020</t>
  </si>
  <si>
    <t>V2020/182</t>
  </si>
  <si>
    <t>PGTEFT4956</t>
  </si>
  <si>
    <t>1/12/2019</t>
  </si>
  <si>
    <t>32</t>
  </si>
  <si>
    <t>Cost of Goods Sold - Souvenirs (Nov'19)</t>
  </si>
  <si>
    <t>V2020/183</t>
  </si>
  <si>
    <t>PGTEFT4957</t>
  </si>
  <si>
    <t>20/2/2020</t>
  </si>
  <si>
    <t>SHB00785</t>
  </si>
  <si>
    <t>Consignment sales - Oct'19</t>
  </si>
  <si>
    <t>Consignment sales - Nov'19</t>
  </si>
  <si>
    <t>4th payment (15% of total RM496,730)</t>
  </si>
  <si>
    <t xml:space="preserve"> - Final Presentation</t>
  </si>
  <si>
    <t xml:space="preserve"> - Final Report (Documentation and printing)</t>
  </si>
  <si>
    <t xml:space="preserve"> - Final Consultation Fees (Professional)</t>
  </si>
  <si>
    <t>* Remaining 15% to be paid upon completion of project</t>
  </si>
  <si>
    <t>V2020/192</t>
  </si>
  <si>
    <t>PGTEFT4963</t>
  </si>
  <si>
    <t>29th Feb 2020</t>
  </si>
  <si>
    <t xml:space="preserve">RM160 / 31days x 17 days </t>
  </si>
  <si>
    <t>Back Pay Salary Jan'2020 :</t>
  </si>
  <si>
    <t>(-) EPF Employee</t>
  </si>
  <si>
    <t>V2020/151</t>
  </si>
  <si>
    <t>18th Feb 2020</t>
  </si>
  <si>
    <t>(SGD741.92 @ 3.024005)</t>
  </si>
  <si>
    <t>Advertorial in Sawasdee Inflight Magazine (Feb'20)</t>
  </si>
  <si>
    <t>(SGD17,601.84 @ 3,0240)</t>
  </si>
  <si>
    <t>Qatar Airways - Oryx (Dec'19)</t>
  </si>
  <si>
    <t>(SGD 9,300 @ 3.0997)</t>
  </si>
  <si>
    <t>V2020/190</t>
  </si>
  <si>
    <t>PT. Multikreasi Abadi Selaras</t>
  </si>
  <si>
    <t>Jalan Indragiri 12-18 #A9</t>
  </si>
  <si>
    <t>Surabaya 60251 Indonesia</t>
  </si>
  <si>
    <t>19th Feb 2020</t>
  </si>
  <si>
    <t>100/ASTINDO/II/2020</t>
  </si>
  <si>
    <t>Booth rental for Astindo Travel Fair  @ Surabaya</t>
  </si>
  <si>
    <t>on 6th-8th Mar 2020</t>
  </si>
  <si>
    <t>(IDR30,000,000 @ 0.000313)</t>
  </si>
  <si>
    <t>6th March 2020</t>
  </si>
  <si>
    <t>V2020/202</t>
  </si>
  <si>
    <t>PGTEFT4972</t>
  </si>
  <si>
    <t>INV2020-003</t>
  </si>
  <si>
    <t>20/20/2020</t>
  </si>
  <si>
    <t xml:space="preserve">Photo of Penang Thaipusam x 3 </t>
  </si>
  <si>
    <t>V2020/204</t>
  </si>
  <si>
    <t>PGTEFT4974</t>
  </si>
  <si>
    <t>4/3/2020</t>
  </si>
  <si>
    <t>7953</t>
  </si>
  <si>
    <t>4/8 black frame with glass -10pcs</t>
  </si>
  <si>
    <t xml:space="preserve">Digital Campaign with Qatar Airways Nordic Market </t>
  </si>
  <si>
    <t>on 6th Jan - 6th Feb 2020</t>
  </si>
  <si>
    <t>20/1/2020</t>
  </si>
  <si>
    <t>14/3/2020</t>
  </si>
  <si>
    <t>12th March 2020</t>
  </si>
  <si>
    <t>V2020/220</t>
  </si>
  <si>
    <t>PGTEFT4988</t>
  </si>
  <si>
    <t>2/2/2020</t>
  </si>
  <si>
    <t>NV2256</t>
  </si>
  <si>
    <t>Kompang performance on 2/1/2020 (Genting Dream)</t>
  </si>
  <si>
    <t>Kompang performance on 3/1/2020 (Norweigan Jade)</t>
  </si>
  <si>
    <t>Kompang performance on 4/1/2020 (Sapphire Princess)</t>
  </si>
  <si>
    <t>Kompang performance on 5/1/2020 (Quantum of the sea)</t>
  </si>
  <si>
    <t>Kompang performance on 6/1/2020 (Genting Dream)</t>
  </si>
  <si>
    <t>Kompang performance on 10/1/2020 (Norweigan Jade)</t>
  </si>
  <si>
    <t>Kompang performance on 11/1/2020 (Costa Fortuna)</t>
  </si>
  <si>
    <t>Kompang performance on 18/1/2020 (Quantum of the sea)</t>
  </si>
  <si>
    <t>V2020/222</t>
  </si>
  <si>
    <t>PGTEFT4990</t>
  </si>
  <si>
    <t>9/3/2020</t>
  </si>
  <si>
    <t>Guide fee on 2/1/2020 (2 hours)</t>
  </si>
  <si>
    <t>Guide fee on 3/1/2020 (2 hours)</t>
  </si>
  <si>
    <t>Guide fee on 4/1/2020 (2 hours)</t>
  </si>
  <si>
    <t>Guide fee on 5/1/2020 (2 hours)</t>
  </si>
  <si>
    <t>Guide fee on 26/1/2020 (2 hours)</t>
  </si>
  <si>
    <t>V2020/223</t>
  </si>
  <si>
    <t>PGTEFT4991</t>
  </si>
  <si>
    <t>Rental for Car Park Space on 1/2-2/2/2020</t>
  </si>
  <si>
    <t>V2020/224</t>
  </si>
  <si>
    <t>PGTEFT4992</t>
  </si>
  <si>
    <t xml:space="preserve">Guide fee on 10/1/20 (2 hours) </t>
  </si>
  <si>
    <t xml:space="preserve">Guide fee on 11/1/20 (2 hours) </t>
  </si>
  <si>
    <t xml:space="preserve">Guide fee on 19/1/20 (2 hours) </t>
  </si>
  <si>
    <t xml:space="preserve">Guide fee on 23/1/20 (2 hours) </t>
  </si>
  <si>
    <t xml:space="preserve">Guide fee on 15/1/20 (2 hours) </t>
  </si>
  <si>
    <t>V2020/233</t>
  </si>
  <si>
    <t>PGTEFT4998</t>
  </si>
  <si>
    <t>Guide fee on 27/1/20 - 2 hours</t>
  </si>
  <si>
    <t>20th March 2020</t>
  </si>
  <si>
    <t>V2020/243</t>
  </si>
  <si>
    <t>PGTEFT5007</t>
  </si>
  <si>
    <t>SMK (P) St George</t>
  </si>
  <si>
    <t>Sekolah Menengah Kebangsaan (Perempuan) St. George</t>
  </si>
  <si>
    <t>6/3/2020</t>
  </si>
  <si>
    <t>001/2020</t>
  </si>
  <si>
    <t>Rental of car park for Hot Air Balloon for 2 days</t>
  </si>
  <si>
    <t>Being payment for LFSS for Feb'20</t>
  </si>
  <si>
    <t xml:space="preserve"> - G'Town Night Trail</t>
  </si>
  <si>
    <t>PT Sativa Wisata Dunia</t>
  </si>
  <si>
    <t>Kompleks Ruko Este Square</t>
  </si>
  <si>
    <t>Block C-2, Jln. Dr. Ir. H Soekarno 56-58</t>
  </si>
  <si>
    <t>Surabaya 60115</t>
  </si>
  <si>
    <t>Indonesia</t>
  </si>
  <si>
    <t>V2020/261</t>
  </si>
  <si>
    <t>6th April 2020</t>
  </si>
  <si>
    <t>18/2/2020</t>
  </si>
  <si>
    <t>DM-09890220</t>
  </si>
  <si>
    <t>Hired 2 staff for ATF Fair (3 days)</t>
  </si>
  <si>
    <t>IDR 1,400,000 per day</t>
  </si>
  <si>
    <t>V2020/279</t>
  </si>
  <si>
    <t>PGTEFT5039</t>
  </si>
  <si>
    <t>2nd May 2020</t>
  </si>
  <si>
    <t>27/3/2020</t>
  </si>
  <si>
    <t>YZD/INV-027-20</t>
  </si>
  <si>
    <t>Halfday meeting package for 50pax on 13/2/2020</t>
  </si>
  <si>
    <t xml:space="preserve"> - Arrears</t>
  </si>
  <si>
    <t>(IDR 4,200,000 @ 0.000308)</t>
  </si>
  <si>
    <t>12th May 2020</t>
  </si>
  <si>
    <t>31/3/2020</t>
  </si>
  <si>
    <t>PDC/ODIV</t>
  </si>
  <si>
    <t>Seow Ai See (I/C : 821204-07-5644)</t>
  </si>
  <si>
    <t>Senior Accounts Executive</t>
  </si>
  <si>
    <t>V2020/302</t>
  </si>
  <si>
    <t>688533</t>
  </si>
  <si>
    <t>Malaysian rate - RM105</t>
  </si>
  <si>
    <t>Non-Malaysian rate - RM127</t>
  </si>
  <si>
    <t>PD 0003</t>
  </si>
  <si>
    <t>Penang Experience Pass (non-Malaysian rate) - 250 units</t>
  </si>
  <si>
    <t>18th May 2020</t>
  </si>
  <si>
    <t>Roadshow to Doha-Qatar &amp; Medina-Saudi Arabia</t>
  </si>
  <si>
    <t>on 21-26th Feb 2020</t>
  </si>
  <si>
    <t>Penang Roadshow @ K.Lumpur on 12th March 2020</t>
  </si>
  <si>
    <t>V2020/318</t>
  </si>
  <si>
    <t>PGTEFT5074</t>
  </si>
  <si>
    <t>Subscribe to The Star ePaper for 1 year</t>
  </si>
  <si>
    <t>Period : 1/8/2020-31/7/2021</t>
  </si>
  <si>
    <t>V2020/319</t>
  </si>
  <si>
    <t>PGTEFT5075</t>
  </si>
  <si>
    <t>10/3/2020</t>
  </si>
  <si>
    <t>200310</t>
  </si>
  <si>
    <t>2054</t>
  </si>
  <si>
    <t>(New Brochure)</t>
  </si>
  <si>
    <t>2055</t>
  </si>
  <si>
    <t>Printing of Balik Pulau Map (EPY Version) -30,000pcs</t>
  </si>
  <si>
    <t>Printing of Teluk Bahang Map (EPY Version) - 30,000pcs</t>
  </si>
  <si>
    <t>22nd May 2020</t>
  </si>
  <si>
    <t>V2020/326</t>
  </si>
  <si>
    <t>PGTEFT5078</t>
  </si>
  <si>
    <t>4/5/2020</t>
  </si>
  <si>
    <t>TW005204</t>
  </si>
  <si>
    <t xml:space="preserve">Submission of Trademark Gazette </t>
  </si>
  <si>
    <t xml:space="preserve"> - Class 35, 39</t>
  </si>
  <si>
    <t>Disbursement :</t>
  </si>
  <si>
    <t xml:space="preserve"> - Filing fee for request of advertisement of TM31</t>
  </si>
  <si>
    <t>6% Service tax</t>
  </si>
  <si>
    <t>V2020/303</t>
  </si>
  <si>
    <t>17/1/2020</t>
  </si>
  <si>
    <t>CT2020013235</t>
  </si>
  <si>
    <t>Ads on Citilink In-flight Magazine - Jan 2020</t>
  </si>
  <si>
    <t>(IDR 67,500,000 @ 0.000309)</t>
  </si>
  <si>
    <t>Computers</t>
  </si>
  <si>
    <t>1st June 2020</t>
  </si>
  <si>
    <t>V2020/350</t>
  </si>
  <si>
    <t>PGTEFT5100</t>
  </si>
  <si>
    <t>INV242T</t>
  </si>
  <si>
    <t>Guide fee on 10/3/2020</t>
  </si>
  <si>
    <t>Guide fee on 12/3/2020</t>
  </si>
  <si>
    <t>Guide fee on 14/3/2020</t>
  </si>
  <si>
    <t>4th June 2020</t>
  </si>
  <si>
    <t>V2020/355</t>
  </si>
  <si>
    <t>PGTEFT5105</t>
  </si>
  <si>
    <t xml:space="preserve">Swedish Press Media FAM on 8-11th March 2020 </t>
  </si>
  <si>
    <t>19/2/2020</t>
  </si>
  <si>
    <t>00029134</t>
  </si>
  <si>
    <t>Transportation &amp; Guides for 3 days (4 pax)</t>
  </si>
  <si>
    <t>Meals &amp; entrance tickets</t>
  </si>
  <si>
    <t>Boat &amp; Nature Guide to National Park</t>
  </si>
  <si>
    <t>19th June 2020</t>
  </si>
  <si>
    <t>V2020/374</t>
  </si>
  <si>
    <t>PGTEFT5121</t>
  </si>
  <si>
    <t>31/1/2020</t>
  </si>
  <si>
    <t>35398</t>
  </si>
  <si>
    <t>Newspaper for the month of Jan'20</t>
  </si>
  <si>
    <t>29/2/2020</t>
  </si>
  <si>
    <t>35399</t>
  </si>
  <si>
    <t>Newspaper for the month of Feb'20</t>
  </si>
  <si>
    <t>35400</t>
  </si>
  <si>
    <t>Newspaper for the month of Mar'20</t>
  </si>
  <si>
    <t>50% Deposit for Here&amp; Now + Experience Pg 2020 Video</t>
  </si>
  <si>
    <t>(50% of total RM30,750)</t>
  </si>
  <si>
    <t xml:space="preserve">50% upfront for videography &amp; photography on </t>
  </si>
  <si>
    <t>pre-event &amp; event coverage</t>
  </si>
  <si>
    <t>(50% of total RM15,000)</t>
  </si>
  <si>
    <t>V2020/379</t>
  </si>
  <si>
    <t>688541</t>
  </si>
  <si>
    <t>TARS Pictures</t>
  </si>
  <si>
    <t>30 Jalan Greenhall</t>
  </si>
  <si>
    <t>10200 Pulau Pinang</t>
  </si>
  <si>
    <t>China - Social Media Marketing</t>
  </si>
  <si>
    <t>10/6/2020</t>
  </si>
  <si>
    <t>INV_PG0001</t>
  </si>
  <si>
    <t>The Little Nyonya Documentary on Peranakan Culture</t>
  </si>
  <si>
    <t xml:space="preserve"> - Pre-production</t>
  </si>
  <si>
    <t xml:space="preserve"> - Production</t>
  </si>
  <si>
    <t xml:space="preserve"> - Post-production</t>
  </si>
  <si>
    <t xml:space="preserve"> - Personnel/Talent </t>
  </si>
  <si>
    <t>29th June 2020</t>
  </si>
  <si>
    <t>(Voucher No. A551681-A551740)</t>
  </si>
  <si>
    <t>V2020/399</t>
  </si>
  <si>
    <t>PGTEFT5142</t>
  </si>
  <si>
    <t>23/6/2020</t>
  </si>
  <si>
    <t>929</t>
  </si>
  <si>
    <t xml:space="preserve">To supply labour, tools and materials for replace of ceiling </t>
  </si>
  <si>
    <t xml:space="preserve">fan at store room </t>
  </si>
  <si>
    <t>To supply and replace of KDK ceiling fan - 1 unit</t>
  </si>
  <si>
    <t>To install of Aircond point using 2x2.5mm + E cable</t>
  </si>
  <si>
    <t>c/w double pole switch in UPVC piping</t>
  </si>
  <si>
    <t>6th July 2020</t>
  </si>
  <si>
    <t>20000130</t>
  </si>
  <si>
    <t>Secretarial fee for Apr-June'2020</t>
  </si>
  <si>
    <t>Shinaji Sdn Bhd</t>
  </si>
  <si>
    <t>59-2 Persiaran Bayan Indah</t>
  </si>
  <si>
    <t xml:space="preserve">Bayan Bay 11900 </t>
  </si>
  <si>
    <t>Bayan Lepas Penang</t>
  </si>
  <si>
    <t>V2020/420</t>
  </si>
  <si>
    <t>Penang Wedding Professionals Association</t>
  </si>
  <si>
    <t>21, Lintang Burma</t>
  </si>
  <si>
    <t xml:space="preserve">Pulau Tikus 10250 </t>
  </si>
  <si>
    <t xml:space="preserve">Penang Wedding Tourism </t>
  </si>
  <si>
    <t>Sponsorship for PWPACares Campaign (Frontliners)</t>
  </si>
  <si>
    <t>June - Dec 2020</t>
  </si>
  <si>
    <t>688542</t>
  </si>
  <si>
    <t>V2020/380</t>
  </si>
  <si>
    <t>No.99 Fuquan Road, Shanghai</t>
  </si>
  <si>
    <t xml:space="preserve">200335 China </t>
  </si>
  <si>
    <t>Marketing Campaign with Ctrip China June-Dec 2020</t>
  </si>
  <si>
    <t>18/6/2020</t>
  </si>
  <si>
    <t>2019012630</t>
  </si>
  <si>
    <t xml:space="preserve">Ctrip &amp; Trip.com Marketing Campaign </t>
  </si>
  <si>
    <t>(USD45,650 @ 4.3347)</t>
  </si>
  <si>
    <t>16th July 2020</t>
  </si>
  <si>
    <t>V2020/432</t>
  </si>
  <si>
    <t>PGTEFT5172</t>
  </si>
  <si>
    <t>Matta Fair KL</t>
  </si>
  <si>
    <t>due to event cancelled</t>
  </si>
  <si>
    <t>Refund of participation fee (INV0009/2020/OCY/Mich)</t>
  </si>
  <si>
    <t>V2020/439</t>
  </si>
  <si>
    <t>PGTEFT5179</t>
  </si>
  <si>
    <t>Refund of participation fee (INV0018/2020/OCY/Mich)</t>
  </si>
  <si>
    <t>14/7/2020</t>
  </si>
  <si>
    <t>1366</t>
  </si>
  <si>
    <t>(Period : July - Dec 2020)</t>
  </si>
  <si>
    <t>V2020/446</t>
  </si>
  <si>
    <t>PGTEFT5186</t>
  </si>
  <si>
    <t>Malaysia Inbound Chinese Associate (MICA) Mega FAM</t>
  </si>
  <si>
    <t>on 17-18th July 2020</t>
  </si>
  <si>
    <t>17/5/2020</t>
  </si>
  <si>
    <t>Hall Rental for B2B Networking Session on 17/7/2020</t>
  </si>
  <si>
    <t>V2020/447</t>
  </si>
  <si>
    <t>688543</t>
  </si>
  <si>
    <t>Parasign Media Sdn Bhd</t>
  </si>
  <si>
    <t>No.696, Jalan PJU1/13</t>
  </si>
  <si>
    <t xml:space="preserve">Kampung Chempaka </t>
  </si>
  <si>
    <t>47301 Petaling Jaya Selangor</t>
  </si>
  <si>
    <t xml:space="preserve">Tourism Tax - Outdoor Advertising </t>
  </si>
  <si>
    <t>13/3/2020</t>
  </si>
  <si>
    <t>INV1606</t>
  </si>
  <si>
    <t>Covered walkway street board at Jalan Sultan Ismail</t>
  </si>
  <si>
    <t>Covered walkway street board at Jalan Raja Chulan</t>
  </si>
  <si>
    <t xml:space="preserve">Illumination Charges </t>
  </si>
  <si>
    <t xml:space="preserve">Workmanship &amp; installation </t>
  </si>
  <si>
    <t>24th July 2020</t>
  </si>
  <si>
    <t>No.10, Jalan Pelukis U1/46</t>
  </si>
  <si>
    <t>Section U1, Temasya  Industrial Park</t>
  </si>
  <si>
    <t>Glenmarie, 40150 Shah Alam</t>
  </si>
  <si>
    <t>V2020/470</t>
  </si>
  <si>
    <t>PGTEFT5207</t>
  </si>
  <si>
    <t>27/6/2020</t>
  </si>
  <si>
    <t xml:space="preserve">The Little Nyonya China Campaign </t>
  </si>
  <si>
    <t>Penang Straits Chinese Baba Nyonya Wedding Costume</t>
  </si>
  <si>
    <t>Talents fee</t>
  </si>
  <si>
    <t>Food for demostration</t>
  </si>
  <si>
    <t xml:space="preserve">Kebaya &amp; Sarong as prizer for China Social Media </t>
  </si>
  <si>
    <t>20/7/2020</t>
  </si>
  <si>
    <t>V2020/474</t>
  </si>
  <si>
    <t>PGTEFT5211</t>
  </si>
  <si>
    <t>Wan Heng Event Enterprise</t>
  </si>
  <si>
    <t>125, Mukin C Pokok Manggies</t>
  </si>
  <si>
    <t>11000 Balik Pulau Penang</t>
  </si>
  <si>
    <t>Safety Accreditation Programme</t>
  </si>
  <si>
    <t>22/7/2020</t>
  </si>
  <si>
    <t>6008</t>
  </si>
  <si>
    <t>Rental of PA Sound System on 19/7/2020</t>
  </si>
  <si>
    <t>Rental of Projector system on 19/7/2020</t>
  </si>
  <si>
    <t>V2020/448</t>
  </si>
  <si>
    <t>16th Jul 2020</t>
  </si>
  <si>
    <t>UM-2019/255</t>
  </si>
  <si>
    <t>Outdoor Advertising of EPY2020 - Sg MRT (Dhoby Ghaut) Station</t>
  </si>
  <si>
    <t>Singapore MRT - Dhoby Ghaut NEL Station</t>
  </si>
  <si>
    <t>(SGD181,814.40 @ 3.1033)</t>
  </si>
  <si>
    <t>(by Tourism Tax)</t>
  </si>
  <si>
    <t>11th Aug 2020</t>
  </si>
  <si>
    <t>V2020/497</t>
  </si>
  <si>
    <t>PGTEFT5232</t>
  </si>
  <si>
    <t xml:space="preserve">Outbound Travel Agents &amp; Media FAM Trip to Penang </t>
  </si>
  <si>
    <t>on 20-23th July &amp; 10-13th Aug 2020</t>
  </si>
  <si>
    <t>IN-PP2007002</t>
  </si>
  <si>
    <t>Lunch hosting at The Top on 22/7/2020 (22 pax)</t>
  </si>
  <si>
    <t>10% Service Tax</t>
  </si>
  <si>
    <t>V2020/498</t>
  </si>
  <si>
    <t>PGTEFT5233</t>
  </si>
  <si>
    <t>6/8/2020</t>
  </si>
  <si>
    <t>IV-01150</t>
  </si>
  <si>
    <t>Gateway inflight magazine designing fee - Sept issue</t>
  </si>
  <si>
    <t>(postponed to Dec)</t>
  </si>
  <si>
    <t>V2020/499</t>
  </si>
  <si>
    <t>PGTEFT5234</t>
  </si>
  <si>
    <t>48273</t>
  </si>
  <si>
    <t>Dinner hosting on 20/7/2020 (23 pax)</t>
  </si>
  <si>
    <t>Meter Reading from (4/7/2020-3/8/2020)</t>
  </si>
  <si>
    <t>18th Aug 2020</t>
  </si>
  <si>
    <t>V2020/512</t>
  </si>
  <si>
    <t>PGTEFT5246</t>
  </si>
  <si>
    <t>Travelsmart Vacation Sdn BHd</t>
  </si>
  <si>
    <t>2-1-12A &amp; 2-2-12A, Tingkat Mahsuri 5</t>
  </si>
  <si>
    <t>Bayan Baru, 11950 Bayan Lepas</t>
  </si>
  <si>
    <t>Tel : 04-638 3065</t>
  </si>
  <si>
    <t>Embassy Alliance Travel FAM Trip on 9-11th Aug 2020</t>
  </si>
  <si>
    <t>11/8/2020</t>
  </si>
  <si>
    <t>200810PEN001</t>
  </si>
  <si>
    <t>Transportation, guide &amp; tours (3pax)</t>
  </si>
  <si>
    <t>V2020/513</t>
  </si>
  <si>
    <t>688546</t>
  </si>
  <si>
    <t xml:space="preserve">Persatuan Pelancongan Cina Malaysia </t>
  </si>
  <si>
    <t>Malaysia Chinese Tourism Association, Penang Chapter</t>
  </si>
  <si>
    <t>15, Jalan Sungai Ujong</t>
  </si>
  <si>
    <t>10100 Penang</t>
  </si>
  <si>
    <t>Tel : 04- 262 2333</t>
  </si>
  <si>
    <t>MCTA Recovery Campaign 2020</t>
  </si>
  <si>
    <t>Subsidy of tour package for July'2020</t>
  </si>
  <si>
    <t xml:space="preserve"> - Day tour (RM40 x 1498 pax)</t>
  </si>
  <si>
    <t xml:space="preserve"> - 2D1N tour (RM50 x 51 pax)</t>
  </si>
  <si>
    <t xml:space="preserve"> - 3D2N tour (RM80 x 85 pax)</t>
  </si>
  <si>
    <t>28th Aug 2020</t>
  </si>
  <si>
    <t>23/7/2020</t>
  </si>
  <si>
    <t>200452</t>
  </si>
  <si>
    <t>Covid19 Precaution and measurements backlit</t>
  </si>
  <si>
    <t>at Penang Int. Airport (Domestic &amp; International)</t>
  </si>
  <si>
    <t xml:space="preserve">Installation </t>
  </si>
  <si>
    <t>18/8/2020</t>
  </si>
  <si>
    <t>200514</t>
  </si>
  <si>
    <t>Publicity - Jom! Experience Pg</t>
  </si>
  <si>
    <t>Printing of sticker on styrofoam for photo op (A1 size)</t>
  </si>
  <si>
    <t>Printing of sticker on styrofoam for photo op (A2 size)</t>
  </si>
  <si>
    <t>V2020/539</t>
  </si>
  <si>
    <t>PGTEFT5270</t>
  </si>
  <si>
    <t>The Light Hotel (M) Sdn Bhd</t>
  </si>
  <si>
    <t>The Light Hotel Penang</t>
  </si>
  <si>
    <t>Lebuh Tenggiri 2, Bandar Seberang Jaya</t>
  </si>
  <si>
    <t>13700 Seberang Jaya</t>
  </si>
  <si>
    <t>Outbound Travel Agents &amp; Media FAM to Penang</t>
  </si>
  <si>
    <t>on 10-13th Aug 2020</t>
  </si>
  <si>
    <t>13/8/2020</t>
  </si>
  <si>
    <t>253282</t>
  </si>
  <si>
    <t>Hotel accommodation x 16 room nights</t>
  </si>
  <si>
    <t>V2020/540</t>
  </si>
  <si>
    <t>PGTEFT5271</t>
  </si>
  <si>
    <t>MH Holiday with Penang Packages Campaign</t>
  </si>
  <si>
    <t>17/8/2020</t>
  </si>
  <si>
    <t>TSGINVS2020/08/S0925</t>
  </si>
  <si>
    <t>TSG Audio Tour tickets x 100pcs @ RM15 each</t>
  </si>
  <si>
    <t>V2020/543</t>
  </si>
  <si>
    <t>PGTEFT5274</t>
  </si>
  <si>
    <t>Tropical Fruit Farm</t>
  </si>
  <si>
    <t>18 Milestone</t>
  </si>
  <si>
    <t>Jalan Teluk Bahang, 11050 Penang</t>
  </si>
  <si>
    <t>MH Holiady with Penang Packages Campaign</t>
  </si>
  <si>
    <t>IPGT180820</t>
  </si>
  <si>
    <t>Farm Tour ticket x 100pcs @ RM25 each</t>
  </si>
  <si>
    <t>V2020/559</t>
  </si>
  <si>
    <t>PGTEFT5288</t>
  </si>
  <si>
    <t>8th Sept 2020</t>
  </si>
  <si>
    <t>V2020/263</t>
  </si>
  <si>
    <t>PGTEFT5024</t>
  </si>
  <si>
    <t>1/9/2020</t>
  </si>
  <si>
    <t xml:space="preserve"> - Hotel accommodation</t>
  </si>
  <si>
    <t xml:space="preserve"> - Visa application</t>
  </si>
  <si>
    <t xml:space="preserve"> - Contingency</t>
  </si>
  <si>
    <t xml:space="preserve"> - Photo &amp; Visa Application</t>
  </si>
  <si>
    <t>V2020/562</t>
  </si>
  <si>
    <t>PGTEFT5291</t>
  </si>
  <si>
    <t>Ong Teik Hin</t>
  </si>
  <si>
    <t>Nicholas Hinz Photography</t>
  </si>
  <si>
    <t xml:space="preserve">Photo/Video Archiving </t>
  </si>
  <si>
    <t>INV-0031-20</t>
  </si>
  <si>
    <t xml:space="preserve">Ferry Image purchase </t>
  </si>
  <si>
    <t>65, Persiaran Gurney</t>
  </si>
  <si>
    <t>Tel : 0120-490 9077</t>
  </si>
  <si>
    <t>V2020/563</t>
  </si>
  <si>
    <t>PGTEFT5292</t>
  </si>
  <si>
    <t>0782151</t>
  </si>
  <si>
    <t>Duty &amp; Taxes for sending promotion material to Medan</t>
  </si>
  <si>
    <t>in 2019</t>
  </si>
  <si>
    <t>2/9/2020</t>
  </si>
  <si>
    <t>I0004/PGT/2020</t>
  </si>
  <si>
    <t xml:space="preserve">Migration of PGT's websites (7 websites) to new </t>
  </si>
  <si>
    <t>dedicated service &amp; database setup - one time fee</t>
  </si>
  <si>
    <t>I0005/PGT/2020</t>
  </si>
  <si>
    <t>7 Websites tech support &amp; maintanence for 1 year</t>
  </si>
  <si>
    <t>Dec 2020-Dec 2021</t>
  </si>
  <si>
    <t>(50% deposit of total RM3,760)</t>
  </si>
  <si>
    <t>(50% deposit of total RM6,000)</t>
  </si>
  <si>
    <t>14th Sept 2020</t>
  </si>
  <si>
    <t>V2020/577</t>
  </si>
  <si>
    <t>PGTEFT5306</t>
  </si>
  <si>
    <t>4/9/2020</t>
  </si>
  <si>
    <t>I-54674</t>
  </si>
  <si>
    <t>V2020/578</t>
  </si>
  <si>
    <t>PGTEFT5307</t>
  </si>
  <si>
    <t>Car Park space rental on 1st &amp; 2nd Feb 2020</t>
  </si>
  <si>
    <t>V2020/579</t>
  </si>
  <si>
    <t>PGTEFT5308</t>
  </si>
  <si>
    <t>Teik Ee Electricial Engineering</t>
  </si>
  <si>
    <t>Block 61-A 25-5, Solok Thean Teik</t>
  </si>
  <si>
    <t>Tel : 012-483 3589</t>
  </si>
  <si>
    <t>The path of Hot Air Balloon Fiesta Extension</t>
  </si>
  <si>
    <t>14/8/2020</t>
  </si>
  <si>
    <t>239/TEE/20</t>
  </si>
  <si>
    <t>To supply adapter &amp; lamp holder c/w wiring at Sia Boey</t>
  </si>
  <si>
    <t>To supply LED bulb</t>
  </si>
  <si>
    <t>Supply labour to repair &amp; checking</t>
  </si>
  <si>
    <t>241/TEE/20</t>
  </si>
  <si>
    <t>To supply adapter &amp; lamp holder c/w wiring at ArtWalk</t>
  </si>
  <si>
    <t>V2020/582</t>
  </si>
  <si>
    <t>PGTEFT5311</t>
  </si>
  <si>
    <t>3/9/2020</t>
  </si>
  <si>
    <t>PG/304/20</t>
  </si>
  <si>
    <t>Polo T Collar - 100pcs (Penang Travel Deals)</t>
  </si>
  <si>
    <t>Round Neck T-shirt - 50pcs (Penang Travel Deals)</t>
  </si>
  <si>
    <t>V2020/596</t>
  </si>
  <si>
    <t>688552</t>
  </si>
  <si>
    <t>15th Sept 2020</t>
  </si>
  <si>
    <t xml:space="preserve"> - Oct</t>
  </si>
  <si>
    <t xml:space="preserve"> - Nov</t>
  </si>
  <si>
    <t xml:space="preserve"> - Dec</t>
  </si>
  <si>
    <t>Petty Cash</t>
  </si>
  <si>
    <t>V2020/606</t>
  </si>
  <si>
    <t>PGTEFT5331</t>
  </si>
  <si>
    <t>BOD Meeting Attended on :</t>
  </si>
  <si>
    <t>No. 4/2019 - 19/9/2019</t>
  </si>
  <si>
    <t>No. 5/2019 - 29/10/2019</t>
  </si>
  <si>
    <t xml:space="preserve">BOD Meeting Allownace for Dato' Mohd Bazid bin Abd Kahar </t>
  </si>
  <si>
    <t>for year 2019</t>
  </si>
  <si>
    <t>30th Sept 2020</t>
  </si>
  <si>
    <t xml:space="preserve">Formula </t>
  </si>
  <si>
    <t xml:space="preserve"> - (Amount of KWSP dividend on employer's contribution)</t>
  </si>
  <si>
    <t>(17.5% - % KWSP Employer's contribution ) x (last drawn salary x no. of service months</t>
  </si>
  <si>
    <t>V2020/619</t>
  </si>
  <si>
    <t>PGTEFT5343</t>
  </si>
  <si>
    <t>"Unveiling of Jom! Experience Pg Outdoor Media Campaign</t>
  </si>
  <si>
    <t>Launch in KL on 27-28th Jul 2020</t>
  </si>
  <si>
    <t>dated 22.9.2020</t>
  </si>
  <si>
    <t>Meal allowance</t>
  </si>
  <si>
    <t>8th Oct 2020</t>
  </si>
  <si>
    <t>PDC/ODIV/</t>
  </si>
  <si>
    <t>V2020/639</t>
  </si>
  <si>
    <t>1/10/2020</t>
  </si>
  <si>
    <t>V2020/640</t>
  </si>
  <si>
    <t>PGTEFT5362</t>
  </si>
  <si>
    <t>TM Promotion Board FAM Trip on 21-23th Oct 2020</t>
  </si>
  <si>
    <t>25/9/2020</t>
  </si>
  <si>
    <t>Dinner hosting on 22/10/2020 - 45pax</t>
  </si>
  <si>
    <t>V2020/641</t>
  </si>
  <si>
    <t>PGTEFT5363</t>
  </si>
  <si>
    <t>MICA KOL FAM on 25th-27th Sept 2020</t>
  </si>
  <si>
    <t>2010002</t>
  </si>
  <si>
    <t>Coach rental for 3 days (33pax)</t>
  </si>
  <si>
    <t xml:space="preserve">Dinner hosting </t>
  </si>
  <si>
    <t>Tour Guide fees</t>
  </si>
  <si>
    <t>Internal Built-in QR Code (One-time charges)</t>
  </si>
  <si>
    <t>50% deposit of total RM2,125</t>
  </si>
  <si>
    <t>V2020/651</t>
  </si>
  <si>
    <t>688558</t>
  </si>
  <si>
    <t>005/20</t>
  </si>
  <si>
    <t>Balance 20% of total RM101,450</t>
  </si>
  <si>
    <t>Asean Travel Fair 2020 14th-16th Jan 2020</t>
  </si>
  <si>
    <t>15th Oct 2020</t>
  </si>
  <si>
    <t>V2020/659</t>
  </si>
  <si>
    <t>PGTEFT5378</t>
  </si>
  <si>
    <t>Siridhar Mariappan</t>
  </si>
  <si>
    <t>44B, Lorong Rajawali 13</t>
  </si>
  <si>
    <t xml:space="preserve">Taman Berjaya </t>
  </si>
  <si>
    <t>12/10/2020</t>
  </si>
  <si>
    <t>I-001</t>
  </si>
  <si>
    <t>To purchase images of Pantai Teluk Bayu &amp; Miami</t>
  </si>
  <si>
    <t>Beach Batu Feringgi</t>
  </si>
  <si>
    <t>V2020/660</t>
  </si>
  <si>
    <t>PGTEFT5379</t>
  </si>
  <si>
    <t>Tan Wei Wei</t>
  </si>
  <si>
    <t>A3202, Tropicana Grande</t>
  </si>
  <si>
    <t>Persiaran Tropicana</t>
  </si>
  <si>
    <t>Petaling Jaya</t>
  </si>
  <si>
    <t>8/10/2020</t>
  </si>
  <si>
    <t>INV0001</t>
  </si>
  <si>
    <t>To purchase images of Kampung Agong</t>
  </si>
  <si>
    <t>from Oct-Dec</t>
  </si>
  <si>
    <t>V2020/669</t>
  </si>
  <si>
    <t>PGTEFT5386</t>
  </si>
  <si>
    <t>RHB Asset Management Sdn Bhd - Trust Account</t>
  </si>
  <si>
    <t>27th Oct 2020</t>
  </si>
  <si>
    <t>Sojern Limited</t>
  </si>
  <si>
    <t>5 St John's Ln, 3rd Floor</t>
  </si>
  <si>
    <t>Farringdon, London</t>
  </si>
  <si>
    <t>EC1M 4BM, United Kingdom</t>
  </si>
  <si>
    <t>Media Campaign on Jom! Experience Penang on Domestic</t>
  </si>
  <si>
    <t>5/8/2020</t>
  </si>
  <si>
    <t>10044483</t>
  </si>
  <si>
    <t>Digital display banner for July'20</t>
  </si>
  <si>
    <t xml:space="preserve">Youtube true view for July'20 </t>
  </si>
  <si>
    <t>10044843</t>
  </si>
  <si>
    <t xml:space="preserve">Youtube true view for Aug'20 </t>
  </si>
  <si>
    <t>Digital display banner for Aug'20</t>
  </si>
  <si>
    <t>6/10/2020</t>
  </si>
  <si>
    <t>100048426</t>
  </si>
  <si>
    <t xml:space="preserve">Youtube true view for Sept'20 </t>
  </si>
  <si>
    <t>Digital display banner for Sept'20</t>
  </si>
  <si>
    <t>Tourism on July - September 2020</t>
  </si>
  <si>
    <t>(USD9,868.28 @ 4.2077)</t>
  </si>
  <si>
    <t>2nd Nov 2020</t>
  </si>
  <si>
    <t>V2020/687</t>
  </si>
  <si>
    <t>PGTEFT5402</t>
  </si>
  <si>
    <t>PEKA 2.0 Meeting</t>
  </si>
  <si>
    <t>dated 21.10.2020</t>
  </si>
  <si>
    <t xml:space="preserve"> - Stationery </t>
  </si>
  <si>
    <t xml:space="preserve"> - Printer Cartrdge </t>
  </si>
  <si>
    <t xml:space="preserve"> - Company Act book 2016</t>
  </si>
  <si>
    <t xml:space="preserve">Study Penang </t>
  </si>
  <si>
    <t>dated 28.10.2020</t>
  </si>
  <si>
    <t xml:space="preserve"> - Lunch hosting during Study Penang Meeting on </t>
  </si>
  <si>
    <t>27/10/2020</t>
  </si>
  <si>
    <t>V2020/688</t>
  </si>
  <si>
    <t>PGTEFT5403</t>
  </si>
  <si>
    <t>23/10/2020</t>
  </si>
  <si>
    <t>PGT/PHF/19</t>
  </si>
  <si>
    <t xml:space="preserve">Penang Heritage Food </t>
  </si>
  <si>
    <t>9th Nov 2020</t>
  </si>
  <si>
    <t>via CIMBbizChannel</t>
  </si>
  <si>
    <t>V2020/698</t>
  </si>
  <si>
    <t>PGTEFT5411</t>
  </si>
  <si>
    <t>Roshena Thangarajo</t>
  </si>
  <si>
    <t>Shah Alam, Selangor</t>
  </si>
  <si>
    <t>3/11/2020</t>
  </si>
  <si>
    <t>To purchase image of Penang Bridge (Drone shoot)</t>
  </si>
  <si>
    <t xml:space="preserve"> - 2 photos</t>
  </si>
  <si>
    <t>V2020/703</t>
  </si>
  <si>
    <t>PGTEFT5416</t>
  </si>
  <si>
    <t>28/10/2020</t>
  </si>
  <si>
    <t>INV20-F00429</t>
  </si>
  <si>
    <t>Video Trimming for Penang Travel Deals</t>
  </si>
  <si>
    <t>Reside video for LED</t>
  </si>
  <si>
    <t>(Prodcution cost &amp; installation)</t>
  </si>
  <si>
    <t>25th Nov 2020</t>
  </si>
  <si>
    <t>V2020/717</t>
  </si>
  <si>
    <t>PGTEFT5430</t>
  </si>
  <si>
    <t>20/11/2020</t>
  </si>
  <si>
    <t>200835</t>
  </si>
  <si>
    <t>10'x20' Billboard @ Penang Turf Club (Responsible Touruism)</t>
  </si>
  <si>
    <t>30'x40' Billboard @ IJM Billboard (Responsible Touruism)</t>
  </si>
  <si>
    <t>Armenian street poster (Responsible Tourism)</t>
  </si>
  <si>
    <t>V2020/737</t>
  </si>
  <si>
    <t>PGTEFT5448</t>
  </si>
  <si>
    <t>30th Nov 2020</t>
  </si>
  <si>
    <t>24/11/2020</t>
  </si>
  <si>
    <t>I0007/PGT/2020</t>
  </si>
  <si>
    <t>(50% balance payment of total RM6,000)</t>
  </si>
  <si>
    <t>I0008/PGT/2020</t>
  </si>
  <si>
    <t>(50% balance payment of total RM3,760)</t>
  </si>
  <si>
    <t>I0009/PGT/2020</t>
  </si>
  <si>
    <t>50% balance payment of total RM2,125</t>
  </si>
  <si>
    <t>25/11/2020</t>
  </si>
  <si>
    <t>V2020/740</t>
  </si>
  <si>
    <t>Peanut Butter Creative Studio (M) Sdn Bhd</t>
  </si>
  <si>
    <t>63-1, Lorong Perda Utama 3</t>
  </si>
  <si>
    <t>Taman Prominence</t>
  </si>
  <si>
    <t>I2011-0002</t>
  </si>
  <si>
    <t>Video production on "20+1 reason to Experience Penang"</t>
  </si>
  <si>
    <t>50% Deposit of total RM15,000</t>
  </si>
  <si>
    <t>8th Dec 2020</t>
  </si>
  <si>
    <t>V2020/751</t>
  </si>
  <si>
    <t>PGTEFT5461</t>
  </si>
  <si>
    <t>Rapid Ferry Sdn Bhd</t>
  </si>
  <si>
    <t>Pengkalan Sultan Abdul Halim</t>
  </si>
  <si>
    <t>Tel : 04-3136803</t>
  </si>
  <si>
    <t>1/12/2020</t>
  </si>
  <si>
    <t>PInv2/20</t>
  </si>
  <si>
    <t>Rental of ads space at Penang Ferry Terminal-2 slots</t>
  </si>
  <si>
    <t>Period : 1st-31st Dec 2020</t>
  </si>
  <si>
    <t>Brochure/Information Panel</t>
  </si>
  <si>
    <t>Being Top Up of petty cash for month Dec'2020</t>
  </si>
  <si>
    <t>V2020/755</t>
  </si>
  <si>
    <t>PGTEFT5465</t>
  </si>
  <si>
    <t>30/11/2020</t>
  </si>
  <si>
    <t>V2020/759</t>
  </si>
  <si>
    <t>688569</t>
  </si>
  <si>
    <t>YTLIFS/1625</t>
  </si>
  <si>
    <t>Period : 16/12/2020-15/3/2021</t>
  </si>
  <si>
    <t>Counter top screen TV42" @ Family Mart &amp; Production</t>
  </si>
  <si>
    <t>cost (50% upfront of total RM54,030)</t>
  </si>
  <si>
    <t>10th Dec 2020</t>
  </si>
  <si>
    <t>V2020/764</t>
  </si>
  <si>
    <t>PGTEFT5469</t>
  </si>
  <si>
    <t>14/12/2020</t>
  </si>
  <si>
    <t>20046854</t>
  </si>
  <si>
    <t>Billing Period : 01/11/2020 - 30/11/2020</t>
  </si>
  <si>
    <t xml:space="preserve">Being yearly domain &amp; hosting renewal </t>
  </si>
  <si>
    <t>Period : 27th Dec to 26th Dec 2021</t>
  </si>
  <si>
    <t>21st Dec 2020</t>
  </si>
  <si>
    <t>V2020/795</t>
  </si>
  <si>
    <t>PGTEFT5493</t>
  </si>
  <si>
    <t>16/12/2020</t>
  </si>
  <si>
    <t>12458/20</t>
  </si>
  <si>
    <t>Being reformatting, reinstallation of Windows for HP</t>
  </si>
  <si>
    <t>laptop labour charges</t>
  </si>
  <si>
    <t xml:space="preserve">Install 4GB DDR3 RAM </t>
  </si>
  <si>
    <t>Being checking, troubleshooting, installation, setting</t>
  </si>
  <si>
    <t>labour charges</t>
  </si>
  <si>
    <t>17/12/2020</t>
  </si>
  <si>
    <t>V2020/797</t>
  </si>
  <si>
    <t>PGTEFT5495</t>
  </si>
  <si>
    <t>1482</t>
  </si>
  <si>
    <t>Period : 31st Dec to 30th Dec 2021</t>
  </si>
  <si>
    <t>V2020/799</t>
  </si>
  <si>
    <t>PGTEFT5497</t>
  </si>
  <si>
    <t>TCCL Sdn Bhd</t>
  </si>
  <si>
    <t xml:space="preserve">No. 127, Jalan Patani </t>
  </si>
  <si>
    <t>Tel : 04-281 0673</t>
  </si>
  <si>
    <t>Renewal Quotation</t>
  </si>
  <si>
    <t>Basic Premium (Sum insured RM100,000)</t>
  </si>
  <si>
    <t>(Period : 29 Jan 2021 - 28 Jan 2022)</t>
  </si>
  <si>
    <t>688577</t>
  </si>
  <si>
    <t>22th Dec 2020</t>
  </si>
  <si>
    <t>One Million and Five Hundred Thousand Only</t>
  </si>
  <si>
    <t>V2020/804</t>
  </si>
  <si>
    <t>PGTEFT5501</t>
  </si>
  <si>
    <t>IRG20393</t>
  </si>
  <si>
    <t>(50% of total RM6,100)</t>
  </si>
  <si>
    <t>L Shape folder - 10,000pcs @ RM0.63 each x 50%</t>
  </si>
  <si>
    <t>Deduction of Sample fee x 50%</t>
  </si>
  <si>
    <t>Additional Sample fee (discontinue) x 50%</t>
  </si>
  <si>
    <t>V2020/805</t>
  </si>
  <si>
    <t>PGTEFT5502</t>
  </si>
  <si>
    <t>V2020/807</t>
  </si>
  <si>
    <t>V2020/761</t>
  </si>
  <si>
    <t>One Cool Artist Management Company Limited</t>
  </si>
  <si>
    <t xml:space="preserve">3/F Milkywat Building </t>
  </si>
  <si>
    <t>77 Hung To Road</t>
  </si>
  <si>
    <t>Kwun Tong, Hong Kong</t>
  </si>
  <si>
    <t>Hong Kong Social Media Campaign with Hong Kong</t>
  </si>
  <si>
    <t xml:space="preserve">Celebrity Philip Keung </t>
  </si>
  <si>
    <t>10202</t>
  </si>
  <si>
    <t xml:space="preserve">Being payment to Mr Philip Keung for social media </t>
  </si>
  <si>
    <t>campaign</t>
  </si>
  <si>
    <t>(HKD 170,000 @ 1.87976)</t>
  </si>
  <si>
    <t>28th Dec 2020</t>
  </si>
  <si>
    <t>PGTEFT5509</t>
  </si>
  <si>
    <t>22/12/2020</t>
  </si>
  <si>
    <t>V2020/813</t>
  </si>
  <si>
    <t>PGTEFT5510</t>
  </si>
  <si>
    <t>2012-0048</t>
  </si>
  <si>
    <t>To supply &amp; install signaage surface for bus shelter @ Pengkalan Weld,</t>
  </si>
  <si>
    <t>Church Street Pier, Lebuh Farquhar, Air Itam &amp; Lebuhraya Tun Dr.</t>
  </si>
  <si>
    <t>Lim Chong Eu (1 metal frame)</t>
  </si>
  <si>
    <r>
      <t xml:space="preserve">To supply &amp; install signaage surface for bus shelter @ Lebuh Light </t>
    </r>
    <r>
      <rPr>
        <sz val="8"/>
        <rFont val="Arial"/>
        <family val="2"/>
      </rPr>
      <t>(2 metal frame)</t>
    </r>
  </si>
  <si>
    <t>8th Jan 2021</t>
  </si>
  <si>
    <t>via CIMBbiz Channel</t>
  </si>
  <si>
    <t>V2021/008</t>
  </si>
  <si>
    <t>PGTEFT5496</t>
  </si>
  <si>
    <t xml:space="preserve">Kelab Kebajikan Kominiti Kampung Study Trip </t>
  </si>
  <si>
    <t>on 18th-21st Dec 2020</t>
  </si>
  <si>
    <t>20/12/2020</t>
  </si>
  <si>
    <t>9223</t>
  </si>
  <si>
    <t>Hotel Accommodation - 20 roomx x 2 nights x RM140</t>
  </si>
  <si>
    <t>V2021/009</t>
  </si>
  <si>
    <t>28/12/2020</t>
  </si>
  <si>
    <t>20000250</t>
  </si>
  <si>
    <t>Secretarial fee for Oct-Dec'2020</t>
  </si>
  <si>
    <t>Meeting Allowance fee for Oct-Dec'2020</t>
  </si>
  <si>
    <t>V2021/010</t>
  </si>
  <si>
    <t>PGTEFT5498</t>
  </si>
  <si>
    <t>Bill dated 13.12.2020</t>
  </si>
  <si>
    <t>V2021/011</t>
  </si>
  <si>
    <t>PGTEFT5499</t>
  </si>
  <si>
    <t>V2021/012</t>
  </si>
  <si>
    <t>PGTEFT5500</t>
  </si>
  <si>
    <t>Meter Reading from (5/12/2020-4/1/2021)</t>
  </si>
  <si>
    <t>V2021/013</t>
  </si>
  <si>
    <t>V2021/014</t>
  </si>
  <si>
    <t>V2021/017</t>
  </si>
  <si>
    <t>PGTEFT5505</t>
  </si>
  <si>
    <t>Hong Kong Social Media Campaign with Philip Keung</t>
  </si>
  <si>
    <t>dated 24.12.2020</t>
  </si>
  <si>
    <t xml:space="preserve"> - Baju Kebaya for social media contest prize - 13pcs</t>
  </si>
  <si>
    <t xml:space="preserve"> - Baju Kebaya with sarung for TM &amp; Host - 3pcs</t>
  </si>
  <si>
    <t xml:space="preserve"> - Kun Kee coffee for sociam media contest prize</t>
  </si>
  <si>
    <t>V2020/232</t>
  </si>
  <si>
    <t>688529</t>
  </si>
  <si>
    <t>688469</t>
  </si>
  <si>
    <t>5/1/2021</t>
  </si>
  <si>
    <t>PICAF/PGT004</t>
  </si>
  <si>
    <t>3rd Instalment 30% of total payment RM1,200,000</t>
  </si>
  <si>
    <t xml:space="preserve"> - Manpower fee (partial)</t>
  </si>
  <si>
    <t xml:space="preserve"> - Partial constrictoon costs (art installations)</t>
  </si>
  <si>
    <t xml:space="preserve"> - Final payment of accommodation costs for participants</t>
  </si>
  <si>
    <t xml:space="preserve"> - Allocation fee for participants</t>
  </si>
  <si>
    <t xml:space="preserve"> - Equipment and material costs (partial)</t>
  </si>
  <si>
    <t>1/10/2019</t>
  </si>
  <si>
    <t>PICAF/PGT002</t>
  </si>
  <si>
    <t>2nd Instalment 30% of total payment RM1,200,000</t>
  </si>
  <si>
    <t xml:space="preserve"> - Event Managemetn (Partial)</t>
  </si>
  <si>
    <t xml:space="preserve"> - Marketing/Web design/Video/Design Work</t>
  </si>
  <si>
    <t xml:space="preserve"> - Partial Construction Costs (Art Installations)</t>
  </si>
  <si>
    <t xml:space="preserve"> - Partial Accommodation cost for participants</t>
  </si>
  <si>
    <t xml:space="preserve"> - Equipment and material cost (partial)</t>
  </si>
  <si>
    <t>V2021/021</t>
  </si>
  <si>
    <t>688583</t>
  </si>
  <si>
    <t>ShopBack Cashback Sdn Bhd</t>
  </si>
  <si>
    <t>Suite 1-1, Level 1, UOA Corporate Tower, Avenue 10</t>
  </si>
  <si>
    <t>The Vertical Bangsar South</t>
  </si>
  <si>
    <t>No.8th Jalan Kerinchi</t>
  </si>
  <si>
    <t>59200 Malaysia</t>
  </si>
  <si>
    <t>Recovery Campaign</t>
  </si>
  <si>
    <t>6/1/2021</t>
  </si>
  <si>
    <t>SI21-MY</t>
  </si>
  <si>
    <t>00199</t>
  </si>
  <si>
    <t xml:space="preserve">Tactical Campaign with Booking.com &amp; Shopback </t>
  </si>
  <si>
    <t>from Nov 2020-Jan 2021</t>
  </si>
  <si>
    <t>(20% of total RM600,000)</t>
  </si>
  <si>
    <t>12th Jan 2021</t>
  </si>
  <si>
    <t>V2021/024</t>
  </si>
  <si>
    <t>PGTEFT5507</t>
  </si>
  <si>
    <t>11/1/2021</t>
  </si>
  <si>
    <t>INV 790</t>
  </si>
  <si>
    <t>Rental of LED billboard at Jalan Burmah for Jan'2021</t>
  </si>
  <si>
    <t>7/1/2021</t>
  </si>
  <si>
    <t>IV-161738</t>
  </si>
  <si>
    <t>Stationery for Jan'2021</t>
  </si>
  <si>
    <t>V2021/026</t>
  </si>
  <si>
    <t>14th Jan 2021</t>
  </si>
  <si>
    <t>V2021/031</t>
  </si>
  <si>
    <t>PGTEFT5514</t>
  </si>
  <si>
    <t>12/1/2021</t>
  </si>
  <si>
    <t>INV38589</t>
  </si>
  <si>
    <t>Rapid Bus Wrap (CAT) - Miao Hui Celebration (1bus)</t>
  </si>
  <si>
    <t>V2021/032</t>
  </si>
  <si>
    <t>PGTEFT5515</t>
  </si>
  <si>
    <t>9/1/2021</t>
  </si>
  <si>
    <t>PPM 2101/01</t>
  </si>
  <si>
    <t>&amp; Gurney for 1 month (Jan)</t>
  </si>
  <si>
    <t>V2021/033</t>
  </si>
  <si>
    <t>PGTEFT5516</t>
  </si>
  <si>
    <t>Printing of Name Cards</t>
  </si>
  <si>
    <t>201000</t>
  </si>
  <si>
    <t>Printing of name card - Sarah</t>
  </si>
  <si>
    <t>V2021/034</t>
  </si>
  <si>
    <t>PGTEFT5517</t>
  </si>
  <si>
    <t>2251</t>
  </si>
  <si>
    <t>Printing of arcyclic signage 40 rack x 2 pcs @RM115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</si>
</sst>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[$-14409]dd/mm/yyyy;@"/>
    <numFmt numFmtId="165" formatCode="dd/mm/yyyy;@"/>
    <numFmt numFmtId="166" formatCode="#,##0.0000_);\(#,##0.0000\)"/>
    <numFmt numFmtId="167" formatCode="#,##0.00000_);\(#,##0.00000\)"/>
    <numFmt numFmtId="168" formatCode="#,##0.0000000_);\(#,##0.0000000\)"/>
    <numFmt numFmtId="169" formatCode="0.000%"/>
    <numFmt numFmtId="170" formatCode="0.0000%"/>
    <numFmt numFmtId="171" formatCode="#,##0.000_);\(#,##0.000\)"/>
    <numFmt numFmtId="172" formatCode="#,##0.0_);\(#,##0.0\)"/>
    <numFmt numFmtId="173" formatCode="dd\.mm\.yy;@"/>
    <numFmt numFmtId="174" formatCode="_(* #,##0.000_);_(* \(#,##0.000\);_(* &quot;-&quot;??_);_(@_)"/>
    <numFmt numFmtId="175" formatCode="#,##0.0000000000_);\(#,##0.0000000000\)"/>
    <numFmt numFmtId="176" formatCode="#,##0.000000_);\(#,##0.000000\)"/>
    <numFmt numFmtId="177" formatCode="#,##0.00000000_);\(#,##0.00000000\)"/>
  </numFmts>
  <fonts count="46">
    <font>
      <sz val="10"/>
      <name val="MS Sans Serif"/>
    </font>
    <font>
      <sz val="10"/>
      <name val="MS Sans Serif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1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b/>
      <u/>
      <sz val="10"/>
      <name val="MS Sans Serif"/>
      <family val="2"/>
    </font>
    <font>
      <b/>
      <u/>
      <sz val="11"/>
      <name val="Arial Narrow"/>
      <family val="2"/>
    </font>
    <font>
      <b/>
      <sz val="14"/>
      <name val="Arial Narrow"/>
      <family val="2"/>
    </font>
    <font>
      <b/>
      <i/>
      <sz val="10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sz val="10"/>
      <name val="Verdana"/>
      <family val="2"/>
    </font>
    <font>
      <b/>
      <sz val="11"/>
      <name val="MS Sans Serif"/>
      <family val="2"/>
    </font>
    <font>
      <sz val="11"/>
      <name val="MS Sans Serif"/>
      <family val="2"/>
    </font>
    <font>
      <b/>
      <i/>
      <sz val="10"/>
      <name val="Arial"/>
      <family val="2"/>
    </font>
    <font>
      <sz val="9"/>
      <name val="Arial"/>
      <family val="2"/>
    </font>
    <font>
      <i/>
      <sz val="10"/>
      <name val="MS Sans Serif"/>
      <family val="2"/>
    </font>
    <font>
      <sz val="10"/>
      <color rgb="FFFF000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MS Sans Serif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color theme="1"/>
      <name val="Verdana"/>
      <family val="2"/>
    </font>
    <font>
      <sz val="12"/>
      <name val="Arial"/>
      <family val="2"/>
    </font>
    <font>
      <u/>
      <sz val="10"/>
      <color theme="10"/>
      <name val="MS Sans Serif"/>
    </font>
    <font>
      <u/>
      <sz val="10"/>
      <name val="Arial"/>
      <family val="2"/>
    </font>
    <font>
      <sz val="8"/>
      <name val="MS Sans Serif"/>
    </font>
    <font>
      <b/>
      <sz val="9"/>
      <name val="Arial"/>
      <family val="2"/>
    </font>
    <font>
      <sz val="10"/>
      <name val="=0.19*3000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9" fontId="28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539">
    <xf numFmtId="0" fontId="0" fillId="0" borderId="0" xfId="0"/>
    <xf numFmtId="39" fontId="0" fillId="0" borderId="0" xfId="0" applyNumberFormat="1"/>
    <xf numFmtId="39" fontId="2" fillId="0" borderId="0" xfId="0" applyNumberFormat="1" applyFont="1"/>
    <xf numFmtId="39" fontId="0" fillId="0" borderId="0" xfId="0" applyNumberFormat="1" applyAlignment="1">
      <alignment vertical="center"/>
    </xf>
    <xf numFmtId="39" fontId="0" fillId="0" borderId="0" xfId="0" applyNumberFormat="1" applyAlignment="1">
      <alignment horizontal="center" vertical="center"/>
    </xf>
    <xf numFmtId="39" fontId="0" fillId="0" borderId="0" xfId="0" applyNumberFormat="1" applyAlignment="1">
      <alignment horizontal="centerContinuous"/>
    </xf>
    <xf numFmtId="39" fontId="0" fillId="0" borderId="0" xfId="0" applyNumberFormat="1" applyAlignment="1">
      <alignment horizontal="left"/>
    </xf>
    <xf numFmtId="39" fontId="0" fillId="0" borderId="0" xfId="0" applyNumberFormat="1" applyAlignment="1">
      <alignment horizontal="center"/>
    </xf>
    <xf numFmtId="39" fontId="0" fillId="0" borderId="0" xfId="0" quotePrefix="1" applyNumberFormat="1"/>
    <xf numFmtId="39" fontId="0" fillId="0" borderId="1" xfId="0" applyNumberFormat="1" applyBorder="1" applyAlignment="1">
      <alignment vertical="center"/>
    </xf>
    <xf numFmtId="39" fontId="0" fillId="0" borderId="1" xfId="0" quotePrefix="1" applyNumberFormat="1" applyBorder="1" applyAlignment="1">
      <alignment horizontal="left" vertical="center"/>
    </xf>
    <xf numFmtId="39" fontId="3" fillId="0" borderId="1" xfId="0" quotePrefix="1" applyNumberFormat="1" applyFont="1" applyBorder="1" applyAlignment="1">
      <alignment horizontal="left" vertical="center"/>
    </xf>
    <xf numFmtId="39" fontId="0" fillId="0" borderId="2" xfId="0" applyNumberFormat="1" applyBorder="1"/>
    <xf numFmtId="39" fontId="3" fillId="0" borderId="0" xfId="0" applyNumberFormat="1" applyFont="1"/>
    <xf numFmtId="39" fontId="4" fillId="0" borderId="0" xfId="0" applyNumberFormat="1" applyFont="1"/>
    <xf numFmtId="39" fontId="2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39" fontId="3" fillId="0" borderId="0" xfId="0" quotePrefix="1" applyNumberFormat="1" applyFont="1" applyAlignment="1">
      <alignment horizontal="left"/>
    </xf>
    <xf numFmtId="39" fontId="0" fillId="0" borderId="0" xfId="0" quotePrefix="1" applyNumberFormat="1" applyAlignment="1">
      <alignment horizontal="left"/>
    </xf>
    <xf numFmtId="39" fontId="5" fillId="0" borderId="0" xfId="0" applyNumberFormat="1" applyFont="1"/>
    <xf numFmtId="39" fontId="7" fillId="0" borderId="0" xfId="0" applyNumberFormat="1" applyFont="1"/>
    <xf numFmtId="39" fontId="7" fillId="0" borderId="0" xfId="0" applyNumberFormat="1" applyFont="1" applyAlignment="1">
      <alignment vertical="center"/>
    </xf>
    <xf numFmtId="39" fontId="7" fillId="0" borderId="0" xfId="0" quotePrefix="1" applyNumberFormat="1" applyFont="1"/>
    <xf numFmtId="39" fontId="7" fillId="0" borderId="1" xfId="0" applyNumberFormat="1" applyFont="1" applyBorder="1" applyAlignment="1">
      <alignment vertical="center"/>
    </xf>
    <xf numFmtId="39" fontId="7" fillId="0" borderId="1" xfId="0" quotePrefix="1" applyNumberFormat="1" applyFont="1" applyBorder="1" applyAlignment="1">
      <alignment horizontal="left" vertical="center"/>
    </xf>
    <xf numFmtId="39" fontId="3" fillId="0" borderId="2" xfId="0" applyNumberFormat="1" applyFont="1" applyBorder="1"/>
    <xf numFmtId="39" fontId="8" fillId="0" borderId="0" xfId="0" applyNumberFormat="1" applyFont="1" applyAlignment="1">
      <alignment vertical="center"/>
    </xf>
    <xf numFmtId="39" fontId="3" fillId="0" borderId="0" xfId="0" applyNumberFormat="1" applyFont="1" applyAlignment="1">
      <alignment vertical="center"/>
    </xf>
    <xf numFmtId="39" fontId="3" fillId="0" borderId="0" xfId="0" applyNumberFormat="1" applyFont="1" applyAlignment="1">
      <alignment horizontal="left"/>
    </xf>
    <xf numFmtId="39" fontId="9" fillId="0" borderId="0" xfId="0" applyNumberFormat="1" applyFont="1" applyAlignment="1">
      <alignment vertical="center"/>
    </xf>
    <xf numFmtId="39" fontId="4" fillId="0" borderId="2" xfId="0" applyNumberFormat="1" applyFont="1" applyBorder="1"/>
    <xf numFmtId="39" fontId="3" fillId="0" borderId="0" xfId="0" quotePrefix="1" applyNumberFormat="1" applyFont="1"/>
    <xf numFmtId="39" fontId="0" fillId="0" borderId="3" xfId="0" applyNumberFormat="1" applyBorder="1"/>
    <xf numFmtId="14" fontId="0" fillId="0" borderId="0" xfId="0" applyNumberFormat="1"/>
    <xf numFmtId="43" fontId="0" fillId="0" borderId="0" xfId="1" applyFont="1"/>
    <xf numFmtId="14" fontId="3" fillId="0" borderId="0" xfId="0" applyNumberFormat="1" applyFont="1" applyAlignment="1">
      <alignment horizont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39" fontId="0" fillId="0" borderId="1" xfId="0" applyNumberFormat="1" applyBorder="1"/>
    <xf numFmtId="39" fontId="4" fillId="0" borderId="0" xfId="0" quotePrefix="1" applyNumberFormat="1" applyFont="1"/>
    <xf numFmtId="39" fontId="3" fillId="0" borderId="0" xfId="0" applyNumberFormat="1" applyFont="1" applyAlignment="1">
      <alignment horizontal="center" vertical="center"/>
    </xf>
    <xf numFmtId="39" fontId="3" fillId="0" borderId="0" xfId="0" applyNumberFormat="1" applyFont="1" applyAlignment="1">
      <alignment horizontal="centerContinuous"/>
    </xf>
    <xf numFmtId="39" fontId="3" fillId="0" borderId="0" xfId="0" applyNumberFormat="1" applyFont="1" applyAlignment="1">
      <alignment horizontal="center"/>
    </xf>
    <xf numFmtId="39" fontId="3" fillId="0" borderId="1" xfId="0" applyNumberFormat="1" applyFont="1" applyBorder="1" applyAlignment="1">
      <alignment vertical="center"/>
    </xf>
    <xf numFmtId="39" fontId="4" fillId="0" borderId="1" xfId="0" quotePrefix="1" applyNumberFormat="1" applyFont="1" applyBorder="1" applyAlignment="1">
      <alignment horizontal="left" vertical="center"/>
    </xf>
    <xf numFmtId="39" fontId="8" fillId="0" borderId="0" xfId="0" applyNumberFormat="1" applyFont="1"/>
    <xf numFmtId="4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Continuous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39" fontId="11" fillId="0" borderId="0" xfId="0" applyNumberFormat="1" applyFont="1"/>
    <xf numFmtId="39" fontId="3" fillId="0" borderId="0" xfId="0" quotePrefix="1" applyNumberFormat="1" applyFont="1" applyAlignment="1">
      <alignment horizontal="center"/>
    </xf>
    <xf numFmtId="39" fontId="10" fillId="0" borderId="0" xfId="0" applyNumberFormat="1" applyFont="1" applyAlignment="1">
      <alignment horizontal="center"/>
    </xf>
    <xf numFmtId="39" fontId="9" fillId="0" borderId="0" xfId="0" applyNumberFormat="1" applyFont="1"/>
    <xf numFmtId="39" fontId="7" fillId="0" borderId="0" xfId="0" applyNumberFormat="1" applyFont="1" applyAlignment="1">
      <alignment horizontal="center" vertical="center"/>
    </xf>
    <xf numFmtId="39" fontId="7" fillId="0" borderId="0" xfId="0" applyNumberFormat="1" applyFont="1" applyAlignment="1">
      <alignment horizontal="centerContinuous"/>
    </xf>
    <xf numFmtId="39" fontId="7" fillId="0" borderId="0" xfId="0" applyNumberFormat="1" applyFont="1" applyAlignment="1">
      <alignment horizontal="left"/>
    </xf>
    <xf numFmtId="39" fontId="7" fillId="0" borderId="0" xfId="0" applyNumberFormat="1" applyFont="1" applyAlignment="1">
      <alignment horizontal="center"/>
    </xf>
    <xf numFmtId="39" fontId="9" fillId="0" borderId="1" xfId="0" quotePrefix="1" applyNumberFormat="1" applyFont="1" applyBorder="1" applyAlignment="1">
      <alignment horizontal="left" vertical="center"/>
    </xf>
    <xf numFmtId="39" fontId="7" fillId="0" borderId="2" xfId="0" applyNumberFormat="1" applyFont="1" applyBorder="1"/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right" vertical="center"/>
    </xf>
    <xf numFmtId="39" fontId="7" fillId="0" borderId="0" xfId="0" quotePrefix="1" applyNumberFormat="1" applyFont="1" applyAlignment="1">
      <alignment horizontal="left"/>
    </xf>
    <xf numFmtId="39" fontId="12" fillId="0" borderId="0" xfId="0" applyNumberFormat="1" applyFont="1"/>
    <xf numFmtId="4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14" fontId="0" fillId="0" borderId="0" xfId="0" applyNumberFormat="1" applyAlignment="1">
      <alignment horizontal="center"/>
    </xf>
    <xf numFmtId="39" fontId="8" fillId="0" borderId="0" xfId="0" applyNumberFormat="1" applyFont="1" applyAlignment="1">
      <alignment horizontal="center" vertical="center"/>
    </xf>
    <xf numFmtId="39" fontId="8" fillId="0" borderId="0" xfId="0" applyNumberFormat="1" applyFont="1" applyAlignment="1">
      <alignment horizontal="left"/>
    </xf>
    <xf numFmtId="39" fontId="8" fillId="0" borderId="0" xfId="0" applyNumberFormat="1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Continuous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39" fontId="14" fillId="0" borderId="0" xfId="0" applyNumberFormat="1" applyFont="1"/>
    <xf numFmtId="39" fontId="10" fillId="0" borderId="0" xfId="0" applyNumberFormat="1" applyFont="1"/>
    <xf numFmtId="39" fontId="10" fillId="0" borderId="0" xfId="0" applyNumberFormat="1" applyFont="1" applyAlignment="1">
      <alignment vertical="center"/>
    </xf>
    <xf numFmtId="39" fontId="1" fillId="0" borderId="0" xfId="2" applyNumberFormat="1"/>
    <xf numFmtId="39" fontId="5" fillId="0" borderId="0" xfId="2" applyNumberFormat="1" applyFont="1"/>
    <xf numFmtId="39" fontId="1" fillId="0" borderId="0" xfId="2" quotePrefix="1" applyNumberFormat="1" applyAlignment="1">
      <alignment horizontal="left"/>
    </xf>
    <xf numFmtId="165" fontId="1" fillId="0" borderId="0" xfId="2" quotePrefix="1" applyNumberFormat="1" applyAlignment="1">
      <alignment horizontal="left"/>
    </xf>
    <xf numFmtId="0" fontId="2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1" xfId="2" applyFont="1" applyBorder="1" applyAlignment="1">
      <alignment horizontal="centerContinuous" vertical="center"/>
    </xf>
    <xf numFmtId="4" fontId="2" fillId="0" borderId="1" xfId="2" applyNumberFormat="1" applyFont="1" applyBorder="1" applyAlignment="1">
      <alignment vertical="center"/>
    </xf>
    <xf numFmtId="39" fontId="2" fillId="0" borderId="0" xfId="2" applyNumberFormat="1" applyFont="1" applyAlignment="1">
      <alignment vertical="center"/>
    </xf>
    <xf numFmtId="164" fontId="1" fillId="0" borderId="0" xfId="2" applyNumberFormat="1" applyAlignment="1">
      <alignment horizontal="center"/>
    </xf>
    <xf numFmtId="164" fontId="1" fillId="0" borderId="0" xfId="2" applyNumberFormat="1"/>
    <xf numFmtId="164" fontId="1" fillId="0" borderId="0" xfId="2" quotePrefix="1" applyNumberFormat="1"/>
    <xf numFmtId="39" fontId="1" fillId="0" borderId="2" xfId="2" applyNumberFormat="1" applyBorder="1"/>
    <xf numFmtId="39" fontId="1" fillId="0" borderId="1" xfId="2" quotePrefix="1" applyNumberFormat="1" applyBorder="1" applyAlignment="1">
      <alignment horizontal="left" vertical="center"/>
    </xf>
    <xf numFmtId="39" fontId="1" fillId="0" borderId="1" xfId="2" applyNumberFormat="1" applyBorder="1" applyAlignment="1">
      <alignment vertical="center"/>
    </xf>
    <xf numFmtId="39" fontId="1" fillId="0" borderId="0" xfId="2" quotePrefix="1" applyNumberFormat="1"/>
    <xf numFmtId="39" fontId="1" fillId="0" borderId="0" xfId="2" applyNumberFormat="1" applyAlignment="1">
      <alignment horizontal="center"/>
    </xf>
    <xf numFmtId="39" fontId="1" fillId="0" borderId="3" xfId="2" applyNumberFormat="1" applyBorder="1"/>
    <xf numFmtId="39" fontId="1" fillId="0" borderId="0" xfId="2" applyNumberFormat="1" applyAlignment="1">
      <alignment horizontal="left"/>
    </xf>
    <xf numFmtId="39" fontId="1" fillId="0" borderId="0" xfId="2" applyNumberFormat="1" applyAlignment="1">
      <alignment horizontal="centerContinuous"/>
    </xf>
    <xf numFmtId="39" fontId="1" fillId="0" borderId="0" xfId="2" applyNumberFormat="1" applyAlignment="1">
      <alignment horizontal="left" vertical="center"/>
    </xf>
    <xf numFmtId="39" fontId="1" fillId="0" borderId="0" xfId="2" applyNumberFormat="1" applyAlignment="1">
      <alignment horizontal="center" vertical="center"/>
    </xf>
    <xf numFmtId="39" fontId="1" fillId="0" borderId="0" xfId="2" applyNumberFormat="1" applyAlignment="1">
      <alignment vertical="center"/>
    </xf>
    <xf numFmtId="39" fontId="2" fillId="0" borderId="0" xfId="2" applyNumberFormat="1" applyFont="1"/>
    <xf numFmtId="39" fontId="15" fillId="0" borderId="0" xfId="0" applyNumberFormat="1" applyFont="1"/>
    <xf numFmtId="39" fontId="15" fillId="0" borderId="0" xfId="0" quotePrefix="1" applyNumberFormat="1" applyFont="1" applyAlignment="1">
      <alignment horizontal="left"/>
    </xf>
    <xf numFmtId="39" fontId="16" fillId="0" borderId="0" xfId="0" applyNumberFormat="1" applyFont="1"/>
    <xf numFmtId="14" fontId="16" fillId="0" borderId="0" xfId="0" applyNumberFormat="1" applyFont="1" applyAlignment="1">
      <alignment horizontal="center"/>
    </xf>
    <xf numFmtId="14" fontId="15" fillId="0" borderId="0" xfId="0" applyNumberFormat="1" applyFont="1" applyAlignment="1">
      <alignment horizontal="center"/>
    </xf>
    <xf numFmtId="39" fontId="15" fillId="0" borderId="0" xfId="0" quotePrefix="1" applyNumberFormat="1" applyFont="1" applyAlignment="1">
      <alignment horizontal="center"/>
    </xf>
    <xf numFmtId="39" fontId="15" fillId="0" borderId="2" xfId="0" applyNumberFormat="1" applyFont="1" applyBorder="1"/>
    <xf numFmtId="39" fontId="15" fillId="0" borderId="1" xfId="0" quotePrefix="1" applyNumberFormat="1" applyFont="1" applyBorder="1" applyAlignment="1">
      <alignment horizontal="left" vertical="center"/>
    </xf>
    <xf numFmtId="39" fontId="15" fillId="0" borderId="1" xfId="0" applyNumberFormat="1" applyFont="1" applyBorder="1" applyAlignment="1">
      <alignment vertical="center"/>
    </xf>
    <xf numFmtId="39" fontId="15" fillId="0" borderId="0" xfId="0" quotePrefix="1" applyNumberFormat="1" applyFont="1"/>
    <xf numFmtId="39" fontId="15" fillId="0" borderId="0" xfId="0" applyNumberFormat="1" applyFont="1" applyAlignment="1">
      <alignment horizontal="center"/>
    </xf>
    <xf numFmtId="39" fontId="15" fillId="0" borderId="3" xfId="0" applyNumberFormat="1" applyFont="1" applyBorder="1"/>
    <xf numFmtId="39" fontId="15" fillId="0" borderId="0" xfId="0" applyNumberFormat="1" applyFont="1" applyAlignment="1">
      <alignment horizontal="left"/>
    </xf>
    <xf numFmtId="39" fontId="15" fillId="0" borderId="0" xfId="0" applyNumberFormat="1" applyFont="1" applyAlignment="1">
      <alignment horizontal="centerContinuous"/>
    </xf>
    <xf numFmtId="39" fontId="15" fillId="0" borderId="0" xfId="0" applyNumberFormat="1" applyFont="1" applyAlignment="1">
      <alignment horizontal="center" vertical="center"/>
    </xf>
    <xf numFmtId="39" fontId="15" fillId="0" borderId="0" xfId="0" applyNumberFormat="1" applyFont="1" applyAlignment="1">
      <alignment vertical="center"/>
    </xf>
    <xf numFmtId="39" fontId="2" fillId="0" borderId="2" xfId="0" applyNumberFormat="1" applyFont="1" applyBorder="1"/>
    <xf numFmtId="3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9" fontId="8" fillId="0" borderId="3" xfId="0" applyNumberFormat="1" applyFont="1" applyBorder="1"/>
    <xf numFmtId="39" fontId="15" fillId="0" borderId="0" xfId="2" applyNumberFormat="1" applyFont="1"/>
    <xf numFmtId="39" fontId="15" fillId="0" borderId="0" xfId="2" quotePrefix="1" applyNumberFormat="1" applyFont="1" applyAlignment="1">
      <alignment horizontal="left"/>
    </xf>
    <xf numFmtId="165" fontId="15" fillId="0" borderId="0" xfId="2" quotePrefix="1" applyNumberFormat="1" applyFont="1" applyAlignment="1">
      <alignment horizontal="left"/>
    </xf>
    <xf numFmtId="164" fontId="15" fillId="0" borderId="0" xfId="2" applyNumberFormat="1" applyFont="1" applyAlignment="1">
      <alignment horizontal="center"/>
    </xf>
    <xf numFmtId="164" fontId="15" fillId="0" borderId="0" xfId="2" applyNumberFormat="1" applyFont="1"/>
    <xf numFmtId="164" fontId="15" fillId="0" borderId="0" xfId="2" quotePrefix="1" applyNumberFormat="1" applyFont="1"/>
    <xf numFmtId="39" fontId="15" fillId="0" borderId="2" xfId="2" applyNumberFormat="1" applyFont="1" applyBorder="1"/>
    <xf numFmtId="39" fontId="15" fillId="0" borderId="1" xfId="2" quotePrefix="1" applyNumberFormat="1" applyFont="1" applyBorder="1" applyAlignment="1">
      <alignment horizontal="left" vertical="center"/>
    </xf>
    <xf numFmtId="39" fontId="15" fillId="0" borderId="1" xfId="2" applyNumberFormat="1" applyFont="1" applyBorder="1" applyAlignment="1">
      <alignment vertical="center"/>
    </xf>
    <xf numFmtId="39" fontId="15" fillId="0" borderId="0" xfId="2" quotePrefix="1" applyNumberFormat="1" applyFont="1"/>
    <xf numFmtId="39" fontId="15" fillId="0" borderId="0" xfId="2" applyNumberFormat="1" applyFont="1" applyAlignment="1">
      <alignment horizontal="center"/>
    </xf>
    <xf numFmtId="39" fontId="15" fillId="0" borderId="3" xfId="2" applyNumberFormat="1" applyFont="1" applyBorder="1"/>
    <xf numFmtId="39" fontId="15" fillId="0" borderId="0" xfId="2" applyNumberFormat="1" applyFont="1" applyAlignment="1">
      <alignment horizontal="left"/>
    </xf>
    <xf numFmtId="39" fontId="15" fillId="0" borderId="0" xfId="2" applyNumberFormat="1" applyFont="1" applyAlignment="1">
      <alignment horizontal="centerContinuous"/>
    </xf>
    <xf numFmtId="39" fontId="15" fillId="0" borderId="0" xfId="2" applyNumberFormat="1" applyFont="1" applyAlignment="1">
      <alignment horizontal="left" vertical="center"/>
    </xf>
    <xf numFmtId="39" fontId="15" fillId="0" borderId="0" xfId="2" applyNumberFormat="1" applyFont="1" applyAlignment="1">
      <alignment horizontal="center" vertical="center"/>
    </xf>
    <xf numFmtId="39" fontId="15" fillId="0" borderId="0" xfId="2" applyNumberFormat="1" applyFont="1" applyAlignment="1">
      <alignment vertical="center"/>
    </xf>
    <xf numFmtId="14" fontId="15" fillId="0" borderId="0" xfId="0" applyNumberFormat="1" applyFont="1"/>
    <xf numFmtId="43" fontId="15" fillId="0" borderId="0" xfId="1" applyFont="1"/>
    <xf numFmtId="39" fontId="15" fillId="0" borderId="3" xfId="0" applyNumberFormat="1" applyFont="1" applyBorder="1" applyAlignment="1">
      <alignment horizontal="left"/>
    </xf>
    <xf numFmtId="39" fontId="15" fillId="0" borderId="0" xfId="0" applyNumberFormat="1" applyFont="1" applyAlignment="1">
      <alignment horizontal="left" vertical="center"/>
    </xf>
    <xf numFmtId="164" fontId="15" fillId="0" borderId="0" xfId="0" quotePrefix="1" applyNumberFormat="1" applyFont="1" applyAlignment="1">
      <alignment horizontal="left"/>
    </xf>
    <xf numFmtId="164" fontId="15" fillId="0" borderId="0" xfId="0" applyNumberFormat="1" applyFont="1"/>
    <xf numFmtId="164" fontId="15" fillId="0" borderId="0" xfId="0" applyNumberFormat="1" applyFont="1" applyAlignment="1">
      <alignment horizontal="center"/>
    </xf>
    <xf numFmtId="0" fontId="15" fillId="0" borderId="0" xfId="0" quotePrefix="1" applyFont="1" applyAlignment="1">
      <alignment horizontal="center"/>
    </xf>
    <xf numFmtId="164" fontId="15" fillId="0" borderId="0" xfId="0" quotePrefix="1" applyNumberFormat="1" applyFont="1" applyAlignment="1">
      <alignment horizontal="center"/>
    </xf>
    <xf numFmtId="0" fontId="15" fillId="0" borderId="0" xfId="0" quotePrefix="1" applyFont="1" applyAlignment="1">
      <alignment horizontal="right"/>
    </xf>
    <xf numFmtId="39" fontId="15" fillId="0" borderId="0" xfId="2" quotePrefix="1" applyNumberFormat="1" applyFont="1" applyAlignment="1">
      <alignment horizontal="center"/>
    </xf>
    <xf numFmtId="14" fontId="15" fillId="0" borderId="0" xfId="0" applyNumberFormat="1" applyFont="1" applyAlignment="1">
      <alignment horizontal="left"/>
    </xf>
    <xf numFmtId="39" fontId="15" fillId="0" borderId="0" xfId="0" quotePrefix="1" applyNumberFormat="1" applyFont="1" applyAlignment="1">
      <alignment horizontal="left" vertical="center"/>
    </xf>
    <xf numFmtId="14" fontId="15" fillId="0" borderId="0" xfId="0" quotePrefix="1" applyNumberFormat="1" applyFont="1" applyAlignment="1">
      <alignment horizontal="center"/>
    </xf>
    <xf numFmtId="14" fontId="15" fillId="0" borderId="0" xfId="2" applyNumberFormat="1" applyFont="1"/>
    <xf numFmtId="14" fontId="15" fillId="0" borderId="0" xfId="2" applyNumberFormat="1" applyFont="1" applyAlignment="1">
      <alignment horizontal="center"/>
    </xf>
    <xf numFmtId="39" fontId="2" fillId="0" borderId="2" xfId="2" applyNumberFormat="1" applyFont="1" applyBorder="1"/>
    <xf numFmtId="14" fontId="15" fillId="0" borderId="0" xfId="2" quotePrefix="1" applyNumberFormat="1" applyFont="1" applyAlignment="1">
      <alignment horizontal="center"/>
    </xf>
    <xf numFmtId="165" fontId="15" fillId="0" borderId="0" xfId="0" quotePrefix="1" applyNumberFormat="1" applyFont="1" applyAlignment="1">
      <alignment horizontal="left"/>
    </xf>
    <xf numFmtId="39" fontId="17" fillId="0" borderId="0" xfId="0" applyNumberFormat="1" applyFont="1"/>
    <xf numFmtId="39" fontId="2" fillId="0" borderId="0" xfId="0" quotePrefix="1" applyNumberFormat="1" applyFont="1"/>
    <xf numFmtId="39" fontId="15" fillId="0" borderId="0" xfId="0" applyNumberFormat="1" applyFont="1" applyAlignment="1">
      <alignment horizontal="right"/>
    </xf>
    <xf numFmtId="39" fontId="16" fillId="0" borderId="0" xfId="0" applyNumberFormat="1" applyFont="1" applyAlignment="1">
      <alignment horizontal="center"/>
    </xf>
    <xf numFmtId="14" fontId="15" fillId="0" borderId="0" xfId="0" quotePrefix="1" applyNumberFormat="1" applyFont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165" fontId="15" fillId="0" borderId="0" xfId="0" applyNumberFormat="1" applyFont="1" applyAlignment="1">
      <alignment horizontal="center"/>
    </xf>
    <xf numFmtId="165" fontId="15" fillId="0" borderId="0" xfId="0" quotePrefix="1" applyNumberFormat="1" applyFont="1" applyAlignment="1">
      <alignment horizontal="center"/>
    </xf>
    <xf numFmtId="165" fontId="15" fillId="0" borderId="0" xfId="0" applyNumberFormat="1" applyFont="1" applyAlignment="1">
      <alignment horizontal="left"/>
    </xf>
    <xf numFmtId="39" fontId="15" fillId="0" borderId="0" xfId="0" quotePrefix="1" applyNumberFormat="1" applyFont="1" applyAlignment="1">
      <alignment horizontal="right"/>
    </xf>
    <xf numFmtId="165" fontId="15" fillId="0" borderId="0" xfId="2" applyNumberFormat="1" applyFont="1" applyAlignment="1">
      <alignment horizontal="center"/>
    </xf>
    <xf numFmtId="39" fontId="5" fillId="0" borderId="0" xfId="0" applyNumberFormat="1" applyFont="1" applyAlignment="1">
      <alignment vertical="center"/>
    </xf>
    <xf numFmtId="39" fontId="19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164" fontId="15" fillId="0" borderId="0" xfId="0" quotePrefix="1" applyNumberFormat="1" applyFont="1" applyAlignment="1">
      <alignment horizontal="left" vertical="center"/>
    </xf>
    <xf numFmtId="39" fontId="20" fillId="0" borderId="0" xfId="0" applyNumberFormat="1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4" fontId="16" fillId="0" borderId="0" xfId="0" applyNumberFormat="1" applyFont="1" applyAlignment="1">
      <alignment vertical="center"/>
    </xf>
    <xf numFmtId="39" fontId="16" fillId="0" borderId="0" xfId="0" applyNumberFormat="1" applyFont="1" applyAlignment="1">
      <alignment vertical="center"/>
    </xf>
    <xf numFmtId="39" fontId="2" fillId="0" borderId="2" xfId="0" applyNumberFormat="1" applyFont="1" applyBorder="1" applyAlignment="1">
      <alignment vertical="center"/>
    </xf>
    <xf numFmtId="39" fontId="16" fillId="0" borderId="1" xfId="0" applyNumberFormat="1" applyFont="1" applyBorder="1" applyAlignment="1">
      <alignment vertical="center"/>
    </xf>
    <xf numFmtId="39" fontId="16" fillId="0" borderId="0" xfId="0" quotePrefix="1" applyNumberFormat="1" applyFont="1"/>
    <xf numFmtId="39" fontId="16" fillId="0" borderId="0" xfId="0" applyNumberFormat="1" applyFont="1" applyAlignment="1">
      <alignment horizontal="left"/>
    </xf>
    <xf numFmtId="39" fontId="16" fillId="0" borderId="3" xfId="0" applyNumberFormat="1" applyFont="1" applyBorder="1" applyAlignment="1">
      <alignment horizontal="left"/>
    </xf>
    <xf numFmtId="39" fontId="16" fillId="0" borderId="3" xfId="0" applyNumberFormat="1" applyFont="1" applyBorder="1"/>
    <xf numFmtId="39" fontId="16" fillId="0" borderId="0" xfId="0" applyNumberFormat="1" applyFont="1" applyAlignment="1">
      <alignment horizontal="centerContinuous"/>
    </xf>
    <xf numFmtId="39" fontId="16" fillId="0" borderId="0" xfId="0" applyNumberFormat="1" applyFont="1" applyAlignment="1">
      <alignment horizontal="left" vertical="center"/>
    </xf>
    <xf numFmtId="39" fontId="16" fillId="0" borderId="0" xfId="0" applyNumberFormat="1" applyFont="1" applyAlignment="1">
      <alignment horizontal="center" vertical="center"/>
    </xf>
    <xf numFmtId="39" fontId="6" fillId="0" borderId="0" xfId="0" applyNumberFormat="1" applyFont="1"/>
    <xf numFmtId="39" fontId="17" fillId="0" borderId="0" xfId="2" applyNumberFormat="1" applyFont="1"/>
    <xf numFmtId="0" fontId="15" fillId="0" borderId="0" xfId="2" quotePrefix="1" applyFont="1" applyAlignment="1">
      <alignment horizontal="center"/>
    </xf>
    <xf numFmtId="39" fontId="15" fillId="0" borderId="1" xfId="0" applyNumberFormat="1" applyFont="1" applyBorder="1" applyAlignment="1">
      <alignment horizontal="left" vertical="center"/>
    </xf>
    <xf numFmtId="39" fontId="21" fillId="0" borderId="0" xfId="2" applyNumberFormat="1" applyFont="1"/>
    <xf numFmtId="39" fontId="15" fillId="0" borderId="1" xfId="2" applyNumberFormat="1" applyFont="1" applyBorder="1" applyAlignment="1">
      <alignment horizontal="left" vertical="center"/>
    </xf>
    <xf numFmtId="39" fontId="17" fillId="0" borderId="0" xfId="0" quotePrefix="1" applyNumberFormat="1" applyFont="1"/>
    <xf numFmtId="14" fontId="15" fillId="0" borderId="0" xfId="0" quotePrefix="1" applyNumberFormat="1" applyFont="1" applyAlignment="1">
      <alignment horizontal="left"/>
    </xf>
    <xf numFmtId="39" fontId="6" fillId="0" borderId="0" xfId="0" applyNumberFormat="1" applyFont="1" applyAlignment="1">
      <alignment horizontal="center"/>
    </xf>
    <xf numFmtId="39" fontId="2" fillId="0" borderId="0" xfId="0" applyNumberFormat="1" applyFont="1" applyAlignment="1">
      <alignment horizontal="center"/>
    </xf>
    <xf numFmtId="39" fontId="7" fillId="0" borderId="0" xfId="2" applyNumberFormat="1" applyFont="1"/>
    <xf numFmtId="39" fontId="5" fillId="0" borderId="0" xfId="2" applyNumberFormat="1" applyFont="1" applyAlignment="1">
      <alignment vertical="center"/>
    </xf>
    <xf numFmtId="39" fontId="7" fillId="0" borderId="0" xfId="2" applyNumberFormat="1" applyFont="1" applyAlignment="1">
      <alignment vertical="center"/>
    </xf>
    <xf numFmtId="39" fontId="15" fillId="0" borderId="0" xfId="2" quotePrefix="1" applyNumberFormat="1" applyFont="1" applyAlignment="1">
      <alignment horizontal="left" vertical="center"/>
    </xf>
    <xf numFmtId="39" fontId="9" fillId="0" borderId="0" xfId="2" applyNumberFormat="1" applyFont="1" applyAlignment="1">
      <alignment vertical="center"/>
    </xf>
    <xf numFmtId="39" fontId="19" fillId="0" borderId="0" xfId="2" applyNumberFormat="1" applyFont="1" applyAlignment="1">
      <alignment vertical="center"/>
    </xf>
    <xf numFmtId="164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4" fontId="6" fillId="0" borderId="0" xfId="2" applyNumberFormat="1" applyFont="1" applyAlignment="1">
      <alignment vertical="center"/>
    </xf>
    <xf numFmtId="164" fontId="15" fillId="0" borderId="0" xfId="2" quotePrefix="1" applyNumberFormat="1" applyFont="1" applyAlignment="1">
      <alignment horizontal="left" vertical="center"/>
    </xf>
    <xf numFmtId="39" fontId="20" fillId="0" borderId="0" xfId="2" applyNumberFormat="1" applyFont="1" applyAlignment="1">
      <alignment vertical="center"/>
    </xf>
    <xf numFmtId="164" fontId="15" fillId="0" borderId="0" xfId="2" quotePrefix="1" applyNumberFormat="1" applyFont="1" applyAlignment="1">
      <alignment horizontal="center" vertical="center"/>
    </xf>
    <xf numFmtId="39" fontId="22" fillId="0" borderId="0" xfId="2" applyNumberFormat="1" applyFont="1" applyAlignment="1">
      <alignment horizontal="left" vertical="center"/>
    </xf>
    <xf numFmtId="39" fontId="16" fillId="0" borderId="0" xfId="2" applyNumberFormat="1" applyFont="1" applyAlignment="1">
      <alignment vertical="center"/>
    </xf>
    <xf numFmtId="164" fontId="15" fillId="0" borderId="0" xfId="2" applyNumberFormat="1" applyFont="1" applyAlignment="1">
      <alignment horizontal="left" vertical="center"/>
    </xf>
    <xf numFmtId="39" fontId="15" fillId="0" borderId="0" xfId="2" quotePrefix="1" applyNumberFormat="1" applyFont="1" applyAlignment="1">
      <alignment vertical="center"/>
    </xf>
    <xf numFmtId="39" fontId="16" fillId="0" borderId="0" xfId="2" applyNumberFormat="1" applyFont="1"/>
    <xf numFmtId="39" fontId="8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39" fontId="15" fillId="0" borderId="2" xfId="2" applyNumberFormat="1" applyFont="1" applyBorder="1" applyAlignment="1">
      <alignment vertical="center"/>
    </xf>
    <xf numFmtId="39" fontId="16" fillId="0" borderId="1" xfId="2" applyNumberFormat="1" applyFont="1" applyBorder="1" applyAlignment="1">
      <alignment vertical="center"/>
    </xf>
    <xf numFmtId="39" fontId="16" fillId="0" borderId="0" xfId="2" quotePrefix="1" applyNumberFormat="1" applyFont="1"/>
    <xf numFmtId="39" fontId="16" fillId="0" borderId="0" xfId="2" applyNumberFormat="1" applyFont="1" applyAlignment="1">
      <alignment horizontal="left"/>
    </xf>
    <xf numFmtId="39" fontId="16" fillId="0" borderId="0" xfId="2" applyNumberFormat="1" applyFont="1" applyAlignment="1">
      <alignment horizontal="center"/>
    </xf>
    <xf numFmtId="39" fontId="16" fillId="0" borderId="3" xfId="2" applyNumberFormat="1" applyFont="1" applyBorder="1" applyAlignment="1">
      <alignment horizontal="left"/>
    </xf>
    <xf numFmtId="39" fontId="16" fillId="0" borderId="3" xfId="2" applyNumberFormat="1" applyFont="1" applyBorder="1"/>
    <xf numFmtId="39" fontId="16" fillId="0" borderId="0" xfId="2" applyNumberFormat="1" applyFont="1" applyAlignment="1">
      <alignment horizontal="centerContinuous"/>
    </xf>
    <xf numFmtId="39" fontId="16" fillId="0" borderId="0" xfId="2" applyNumberFormat="1" applyFont="1" applyAlignment="1">
      <alignment horizontal="left" vertical="center"/>
    </xf>
    <xf numFmtId="39" fontId="16" fillId="0" borderId="0" xfId="2" applyNumberFormat="1" applyFont="1" applyAlignment="1">
      <alignment horizontal="center" vertical="center"/>
    </xf>
    <xf numFmtId="39" fontId="6" fillId="0" borderId="0" xfId="2" applyNumberFormat="1" applyFont="1"/>
    <xf numFmtId="39" fontId="22" fillId="0" borderId="0" xfId="0" quotePrefix="1" applyNumberFormat="1" applyFont="1" applyAlignment="1">
      <alignment horizontal="center"/>
    </xf>
    <xf numFmtId="166" fontId="15" fillId="0" borderId="0" xfId="0" applyNumberFormat="1" applyFont="1"/>
    <xf numFmtId="39" fontId="2" fillId="0" borderId="0" xfId="2" quotePrefix="1" applyNumberFormat="1" applyFont="1"/>
    <xf numFmtId="14" fontId="15" fillId="0" borderId="0" xfId="2" applyNumberFormat="1" applyFont="1" applyAlignment="1">
      <alignment horizontal="left"/>
    </xf>
    <xf numFmtId="0" fontId="15" fillId="0" borderId="0" xfId="2" quotePrefix="1" applyFont="1" applyAlignment="1">
      <alignment horizontal="right"/>
    </xf>
    <xf numFmtId="14" fontId="15" fillId="0" borderId="0" xfId="2" quotePrefix="1" applyNumberFormat="1" applyFont="1"/>
    <xf numFmtId="39" fontId="22" fillId="0" borderId="0" xfId="2" applyNumberFormat="1" applyFont="1"/>
    <xf numFmtId="39" fontId="15" fillId="0" borderId="3" xfId="2" applyNumberFormat="1" applyFont="1" applyBorder="1" applyAlignment="1">
      <alignment horizontal="left"/>
    </xf>
    <xf numFmtId="39" fontId="21" fillId="0" borderId="0" xfId="0" applyNumberFormat="1" applyFont="1"/>
    <xf numFmtId="166" fontId="15" fillId="0" borderId="0" xfId="2" applyNumberFormat="1" applyFont="1"/>
    <xf numFmtId="0" fontId="15" fillId="0" borderId="0" xfId="0" applyFont="1" applyAlignment="1">
      <alignment horizontal="center"/>
    </xf>
    <xf numFmtId="14" fontId="15" fillId="0" borderId="0" xfId="0" quotePrefix="1" applyNumberFormat="1" applyFont="1"/>
    <xf numFmtId="39" fontId="23" fillId="0" borderId="0" xfId="0" applyNumberFormat="1" applyFont="1"/>
    <xf numFmtId="165" fontId="15" fillId="0" borderId="0" xfId="2" quotePrefix="1" applyNumberFormat="1" applyFont="1" applyAlignment="1">
      <alignment horizontal="center"/>
    </xf>
    <xf numFmtId="39" fontId="15" fillId="0" borderId="0" xfId="0" quotePrefix="1" applyNumberFormat="1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39" fontId="24" fillId="0" borderId="0" xfId="0" applyNumberFormat="1" applyFont="1"/>
    <xf numFmtId="39" fontId="3" fillId="0" borderId="2" xfId="0" applyNumberFormat="1" applyFont="1" applyBorder="1" applyAlignment="1">
      <alignment vertical="center"/>
    </xf>
    <xf numFmtId="39" fontId="15" fillId="0" borderId="2" xfId="0" applyNumberFormat="1" applyFont="1" applyBorder="1" applyAlignment="1">
      <alignment vertical="center"/>
    </xf>
    <xf numFmtId="39" fontId="0" fillId="0" borderId="2" xfId="0" applyNumberFormat="1" applyBorder="1" applyAlignment="1">
      <alignment vertical="center"/>
    </xf>
    <xf numFmtId="39" fontId="15" fillId="0" borderId="1" xfId="0" applyNumberFormat="1" applyFont="1" applyBorder="1"/>
    <xf numFmtId="39" fontId="15" fillId="0" borderId="1" xfId="2" applyNumberFormat="1" applyFont="1" applyBorder="1"/>
    <xf numFmtId="39" fontId="15" fillId="0" borderId="4" xfId="0" applyNumberFormat="1" applyFont="1" applyBorder="1" applyAlignment="1">
      <alignment vertical="center"/>
    </xf>
    <xf numFmtId="165" fontId="15" fillId="0" borderId="0" xfId="2" applyNumberFormat="1" applyFont="1" applyAlignment="1">
      <alignment horizontal="left"/>
    </xf>
    <xf numFmtId="39" fontId="2" fillId="0" borderId="5" xfId="0" applyNumberFormat="1" applyFont="1" applyBorder="1" applyAlignment="1">
      <alignment horizontal="center" vertical="center" wrapText="1"/>
    </xf>
    <xf numFmtId="39" fontId="2" fillId="0" borderId="5" xfId="0" applyNumberFormat="1" applyFont="1" applyBorder="1" applyAlignment="1">
      <alignment horizontal="center" vertical="center"/>
    </xf>
    <xf numFmtId="39" fontId="2" fillId="0" borderId="6" xfId="0" applyNumberFormat="1" applyFont="1" applyBorder="1" applyAlignment="1">
      <alignment horizontal="center" vertical="center"/>
    </xf>
    <xf numFmtId="39" fontId="15" fillId="0" borderId="3" xfId="2" applyNumberFormat="1" applyFont="1" applyBorder="1" applyAlignment="1">
      <alignment vertical="center"/>
    </xf>
    <xf numFmtId="39" fontId="15" fillId="0" borderId="0" xfId="0" quotePrefix="1" applyNumberFormat="1" applyFont="1" applyAlignment="1">
      <alignment vertical="center"/>
    </xf>
    <xf numFmtId="39" fontId="15" fillId="0" borderId="3" xfId="0" applyNumberFormat="1" applyFont="1" applyBorder="1" applyAlignment="1">
      <alignment vertical="center"/>
    </xf>
    <xf numFmtId="39" fontId="0" fillId="0" borderId="1" xfId="0" quotePrefix="1" applyNumberFormat="1" applyBorder="1" applyAlignment="1">
      <alignment vertical="center"/>
    </xf>
    <xf numFmtId="39" fontId="15" fillId="0" borderId="0" xfId="0" applyNumberFormat="1" applyFont="1" applyAlignment="1">
      <alignment vertical="top"/>
    </xf>
    <xf numFmtId="39" fontId="0" fillId="0" borderId="0" xfId="0" applyNumberFormat="1" applyAlignment="1">
      <alignment horizontal="left" vertical="center"/>
    </xf>
    <xf numFmtId="39" fontId="15" fillId="0" borderId="3" xfId="2" applyNumberFormat="1" applyFont="1" applyBorder="1" applyAlignment="1">
      <alignment horizontal="left" vertical="center"/>
    </xf>
    <xf numFmtId="39" fontId="3" fillId="0" borderId="0" xfId="0" applyNumberFormat="1" applyFont="1" applyAlignment="1">
      <alignment horizontal="left" vertical="center"/>
    </xf>
    <xf numFmtId="39" fontId="8" fillId="0" borderId="0" xfId="0" applyNumberFormat="1" applyFont="1" applyAlignment="1">
      <alignment horizontal="left" vertical="center"/>
    </xf>
    <xf numFmtId="39" fontId="15" fillId="0" borderId="3" xfId="0" applyNumberFormat="1" applyFont="1" applyBorder="1" applyAlignment="1">
      <alignment horizontal="left" vertical="center"/>
    </xf>
    <xf numFmtId="39" fontId="7" fillId="0" borderId="0" xfId="0" applyNumberFormat="1" applyFont="1" applyAlignment="1">
      <alignment horizontal="left" vertical="center"/>
    </xf>
    <xf numFmtId="39" fontId="2" fillId="0" borderId="4" xfId="0" applyNumberFormat="1" applyFont="1" applyBorder="1" applyAlignment="1">
      <alignment horizontal="center" vertical="center" wrapText="1"/>
    </xf>
    <xf numFmtId="39" fontId="2" fillId="0" borderId="4" xfId="0" applyNumberFormat="1" applyFont="1" applyBorder="1" applyAlignment="1">
      <alignment horizontal="center" vertical="center"/>
    </xf>
    <xf numFmtId="39" fontId="15" fillId="0" borderId="0" xfId="2" quotePrefix="1" applyNumberFormat="1" applyFont="1" applyAlignment="1">
      <alignment horizontal="center" vertical="center"/>
    </xf>
    <xf numFmtId="39" fontId="15" fillId="0" borderId="4" xfId="2" applyNumberFormat="1" applyFont="1" applyBorder="1" applyAlignment="1">
      <alignment vertical="center"/>
    </xf>
    <xf numFmtId="39" fontId="2" fillId="0" borderId="5" xfId="2" applyNumberFormat="1" applyFont="1" applyBorder="1" applyAlignment="1">
      <alignment horizontal="center" vertical="center" wrapText="1"/>
    </xf>
    <xf numFmtId="39" fontId="2" fillId="0" borderId="5" xfId="2" applyNumberFormat="1" applyFont="1" applyBorder="1" applyAlignment="1">
      <alignment horizontal="center" vertical="center"/>
    </xf>
    <xf numFmtId="39" fontId="2" fillId="0" borderId="6" xfId="2" applyNumberFormat="1" applyFont="1" applyBorder="1" applyAlignment="1">
      <alignment horizontal="center" vertical="center"/>
    </xf>
    <xf numFmtId="39" fontId="2" fillId="0" borderId="0" xfId="2" applyNumberFormat="1" applyFont="1" applyAlignment="1">
      <alignment horizontal="center" vertical="center" wrapText="1"/>
    </xf>
    <xf numFmtId="39" fontId="2" fillId="0" borderId="0" xfId="2" applyNumberFormat="1" applyFont="1" applyAlignment="1">
      <alignment horizontal="center" vertical="center"/>
    </xf>
    <xf numFmtId="39" fontId="2" fillId="0" borderId="0" xfId="2" applyNumberFormat="1" applyFont="1" applyAlignment="1">
      <alignment horizontal="left"/>
    </xf>
    <xf numFmtId="39" fontId="15" fillId="0" borderId="0" xfId="2" quotePrefix="1" applyNumberFormat="1" applyFont="1" applyAlignment="1">
      <alignment horizontal="right"/>
    </xf>
    <xf numFmtId="39" fontId="22" fillId="0" borderId="0" xfId="2" quotePrefix="1" applyNumberFormat="1" applyFont="1" applyAlignment="1">
      <alignment horizontal="right"/>
    </xf>
    <xf numFmtId="39" fontId="2" fillId="0" borderId="0" xfId="2" applyNumberFormat="1" applyFont="1" applyAlignment="1">
      <alignment horizontal="center" wrapText="1"/>
    </xf>
    <xf numFmtId="39" fontId="2" fillId="0" borderId="1" xfId="2" applyNumberFormat="1" applyFont="1" applyBorder="1" applyAlignment="1">
      <alignment horizontal="center" vertical="center"/>
    </xf>
    <xf numFmtId="39" fontId="2" fillId="0" borderId="1" xfId="2" applyNumberFormat="1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Continuous" vertical="center"/>
    </xf>
    <xf numFmtId="4" fontId="2" fillId="0" borderId="0" xfId="2" applyNumberFormat="1" applyFont="1" applyAlignment="1">
      <alignment vertical="center"/>
    </xf>
    <xf numFmtId="14" fontId="17" fillId="0" borderId="0" xfId="0" quotePrefix="1" applyNumberFormat="1" applyFont="1" applyAlignment="1">
      <alignment horizontal="center"/>
    </xf>
    <xf numFmtId="39" fontId="17" fillId="0" borderId="0" xfId="0" applyNumberFormat="1" applyFont="1" applyAlignment="1">
      <alignment horizontal="center"/>
    </xf>
    <xf numFmtId="39" fontId="17" fillId="0" borderId="0" xfId="0" quotePrefix="1" applyNumberFormat="1" applyFont="1" applyAlignment="1">
      <alignment horizontal="center"/>
    </xf>
    <xf numFmtId="39" fontId="8" fillId="0" borderId="0" xfId="2" applyNumberFormat="1" applyFont="1"/>
    <xf numFmtId="39" fontId="15" fillId="0" borderId="7" xfId="0" applyNumberFormat="1" applyFont="1" applyBorder="1"/>
    <xf numFmtId="39" fontId="22" fillId="0" borderId="0" xfId="2" applyNumberFormat="1" applyFont="1" applyAlignment="1">
      <alignment horizontal="center" vertical="center"/>
    </xf>
    <xf numFmtId="0" fontId="15" fillId="0" borderId="0" xfId="2" quotePrefix="1" applyFont="1" applyAlignment="1">
      <alignment horizontal="center" vertical="center"/>
    </xf>
    <xf numFmtId="39" fontId="22" fillId="0" borderId="0" xfId="2" quotePrefix="1" applyNumberFormat="1" applyFont="1"/>
    <xf numFmtId="39" fontId="22" fillId="0" borderId="0" xfId="2" quotePrefix="1" applyNumberFormat="1" applyFont="1" applyAlignment="1">
      <alignment horizontal="center"/>
    </xf>
    <xf numFmtId="37" fontId="15" fillId="0" borderId="0" xfId="0" applyNumberFormat="1" applyFont="1" applyAlignment="1">
      <alignment horizontal="center"/>
    </xf>
    <xf numFmtId="39" fontId="15" fillId="0" borderId="8" xfId="0" applyNumberFormat="1" applyFont="1" applyBorder="1"/>
    <xf numFmtId="39" fontId="2" fillId="0" borderId="0" xfId="0" applyNumberFormat="1" applyFont="1" applyAlignment="1">
      <alignment horizontal="center" wrapText="1"/>
    </xf>
    <xf numFmtId="39" fontId="2" fillId="0" borderId="0" xfId="0" applyNumberFormat="1" applyFont="1" applyAlignment="1">
      <alignment horizontal="center" vertical="center" wrapText="1"/>
    </xf>
    <xf numFmtId="39" fontId="2" fillId="0" borderId="0" xfId="0" applyNumberFormat="1" applyFont="1" applyAlignment="1">
      <alignment horizontal="center" vertical="center"/>
    </xf>
    <xf numFmtId="39" fontId="8" fillId="0" borderId="0" xfId="2" applyNumberFormat="1" applyFont="1" applyAlignment="1">
      <alignment horizontal="center" vertical="center"/>
    </xf>
    <xf numFmtId="39" fontId="22" fillId="0" borderId="0" xfId="0" quotePrefix="1" applyNumberFormat="1" applyFont="1"/>
    <xf numFmtId="39" fontId="22" fillId="0" borderId="0" xfId="0" applyNumberFormat="1" applyFont="1"/>
    <xf numFmtId="39" fontId="2" fillId="0" borderId="7" xfId="0" applyNumberFormat="1" applyFont="1" applyBorder="1"/>
    <xf numFmtId="39" fontId="15" fillId="0" borderId="4" xfId="0" applyNumberFormat="1" applyFont="1" applyBorder="1"/>
    <xf numFmtId="167" fontId="15" fillId="0" borderId="0" xfId="0" applyNumberFormat="1" applyFont="1"/>
    <xf numFmtId="39" fontId="19" fillId="0" borderId="0" xfId="2" applyNumberFormat="1" applyFont="1" applyAlignment="1">
      <alignment horizontal="left" vertical="center"/>
    </xf>
    <xf numFmtId="39" fontId="2" fillId="0" borderId="0" xfId="2" applyNumberFormat="1" applyFont="1" applyAlignment="1">
      <alignment horizontal="left" vertical="center"/>
    </xf>
    <xf numFmtId="43" fontId="15" fillId="0" borderId="0" xfId="1" applyFont="1" applyAlignment="1">
      <alignment horizontal="left" vertical="center"/>
    </xf>
    <xf numFmtId="43" fontId="15" fillId="0" borderId="0" xfId="1" applyFont="1" applyAlignment="1">
      <alignment horizontal="left"/>
    </xf>
    <xf numFmtId="43" fontId="15" fillId="0" borderId="0" xfId="1" applyFont="1" applyAlignment="1">
      <alignment vertical="center"/>
    </xf>
    <xf numFmtId="39" fontId="25" fillId="0" borderId="0" xfId="2" applyNumberFormat="1" applyFont="1" applyAlignment="1">
      <alignment vertical="center"/>
    </xf>
    <xf numFmtId="39" fontId="4" fillId="0" borderId="0" xfId="2" applyNumberFormat="1" applyFont="1" applyAlignment="1">
      <alignment vertical="center"/>
    </xf>
    <xf numFmtId="164" fontId="2" fillId="0" borderId="0" xfId="2" applyNumberFormat="1" applyFont="1" applyAlignment="1">
      <alignment horizontal="left" vertical="center"/>
    </xf>
    <xf numFmtId="0" fontId="2" fillId="0" borderId="0" xfId="2" applyFont="1" applyAlignment="1">
      <alignment horizontal="center" vertical="center"/>
    </xf>
    <xf numFmtId="164" fontId="15" fillId="0" borderId="0" xfId="2" applyNumberFormat="1" applyFont="1" applyAlignment="1">
      <alignment vertical="center"/>
    </xf>
    <xf numFmtId="39" fontId="2" fillId="0" borderId="2" xfId="2" applyNumberFormat="1" applyFont="1" applyBorder="1" applyAlignment="1">
      <alignment vertical="center"/>
    </xf>
    <xf numFmtId="168" fontId="2" fillId="0" borderId="0" xfId="0" applyNumberFormat="1" applyFont="1"/>
    <xf numFmtId="164" fontId="15" fillId="0" borderId="0" xfId="0" quotePrefix="1" applyNumberFormat="1" applyFont="1" applyAlignment="1">
      <alignment horizontal="center" vertical="center"/>
    </xf>
    <xf numFmtId="39" fontId="22" fillId="0" borderId="0" xfId="0" applyNumberFormat="1" applyFont="1" applyAlignment="1">
      <alignment horizontal="center" vertical="center"/>
    </xf>
    <xf numFmtId="39" fontId="22" fillId="0" borderId="0" xfId="0" applyNumberFormat="1" applyFont="1" applyAlignment="1">
      <alignment horizontal="left" vertical="center"/>
    </xf>
    <xf numFmtId="167" fontId="1" fillId="0" borderId="0" xfId="2" applyNumberFormat="1"/>
    <xf numFmtId="39" fontId="26" fillId="0" borderId="0" xfId="2" quotePrefix="1" applyNumberFormat="1" applyFont="1" applyAlignment="1">
      <alignment horizontal="center"/>
    </xf>
    <xf numFmtId="39" fontId="26" fillId="0" borderId="0" xfId="0" quotePrefix="1" applyNumberFormat="1" applyFont="1" applyAlignment="1">
      <alignment horizontal="center"/>
    </xf>
    <xf numFmtId="39" fontId="1" fillId="0" borderId="0" xfId="0" quotePrefix="1" applyNumberFormat="1" applyFont="1" applyAlignment="1">
      <alignment horizontal="left"/>
    </xf>
    <xf numFmtId="167" fontId="0" fillId="0" borderId="0" xfId="0" applyNumberFormat="1"/>
    <xf numFmtId="39" fontId="26" fillId="0" borderId="0" xfId="0" quotePrefix="1" applyNumberFormat="1" applyFont="1"/>
    <xf numFmtId="39" fontId="2" fillId="0" borderId="1" xfId="0" applyNumberFormat="1" applyFont="1" applyBorder="1" applyAlignment="1">
      <alignment horizontal="center" vertical="center" wrapText="1"/>
    </xf>
    <xf numFmtId="39" fontId="2" fillId="0" borderId="1" xfId="0" applyNumberFormat="1" applyFont="1" applyBorder="1" applyAlignment="1">
      <alignment horizontal="center" vertical="center"/>
    </xf>
    <xf numFmtId="39" fontId="22" fillId="0" borderId="0" xfId="2" quotePrefix="1" applyNumberFormat="1" applyFont="1" applyAlignment="1">
      <alignment horizontal="left"/>
    </xf>
    <xf numFmtId="39" fontId="2" fillId="0" borderId="9" xfId="0" applyNumberFormat="1" applyFont="1" applyBorder="1" applyAlignment="1">
      <alignment horizontal="center" vertical="center" wrapText="1"/>
    </xf>
    <xf numFmtId="39" fontId="2" fillId="0" borderId="9" xfId="0" applyNumberFormat="1" applyFont="1" applyBorder="1" applyAlignment="1">
      <alignment horizontal="center" vertical="center"/>
    </xf>
    <xf numFmtId="39" fontId="26" fillId="0" borderId="0" xfId="2" quotePrefix="1" applyNumberFormat="1" applyFont="1" applyAlignment="1">
      <alignment horizontal="right"/>
    </xf>
    <xf numFmtId="39" fontId="2" fillId="0" borderId="0" xfId="0" applyNumberFormat="1" applyFont="1" applyAlignment="1">
      <alignment horizontal="left"/>
    </xf>
    <xf numFmtId="39" fontId="28" fillId="0" borderId="0" xfId="0" applyNumberFormat="1" applyFont="1"/>
    <xf numFmtId="39" fontId="30" fillId="0" borderId="0" xfId="0" applyNumberFormat="1" applyFont="1"/>
    <xf numFmtId="39" fontId="31" fillId="0" borderId="0" xfId="0" applyNumberFormat="1" applyFont="1"/>
    <xf numFmtId="39" fontId="30" fillId="0" borderId="0" xfId="0" quotePrefix="1" applyNumberFormat="1" applyFont="1" applyAlignment="1">
      <alignment horizontal="left"/>
    </xf>
    <xf numFmtId="39" fontId="30" fillId="0" borderId="0" xfId="0" quotePrefix="1" applyNumberFormat="1" applyFont="1"/>
    <xf numFmtId="0" fontId="29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right" vertical="center"/>
    </xf>
    <xf numFmtId="0" fontId="29" fillId="0" borderId="1" xfId="0" applyFont="1" applyBorder="1" applyAlignment="1">
      <alignment horizontal="centerContinuous" vertical="center"/>
    </xf>
    <xf numFmtId="4" fontId="29" fillId="0" borderId="1" xfId="0" applyNumberFormat="1" applyFont="1" applyBorder="1" applyAlignment="1">
      <alignment vertical="center"/>
    </xf>
    <xf numFmtId="39" fontId="29" fillId="0" borderId="0" xfId="0" applyNumberFormat="1" applyFont="1" applyAlignment="1">
      <alignment vertical="center"/>
    </xf>
    <xf numFmtId="39" fontId="29" fillId="0" borderId="0" xfId="0" applyNumberFormat="1" applyFont="1"/>
    <xf numFmtId="14" fontId="30" fillId="0" borderId="0" xfId="0" applyNumberFormat="1" applyFont="1" applyAlignment="1">
      <alignment horizontal="left"/>
    </xf>
    <xf numFmtId="39" fontId="29" fillId="0" borderId="2" xfId="0" applyNumberFormat="1" applyFont="1" applyBorder="1"/>
    <xf numFmtId="39" fontId="30" fillId="0" borderId="0" xfId="0" applyNumberFormat="1" applyFont="1" applyAlignment="1">
      <alignment vertical="center"/>
    </xf>
    <xf numFmtId="39" fontId="30" fillId="0" borderId="1" xfId="0" quotePrefix="1" applyNumberFormat="1" applyFont="1" applyBorder="1" applyAlignment="1">
      <alignment horizontal="left" vertical="center"/>
    </xf>
    <xf numFmtId="39" fontId="30" fillId="0" borderId="1" xfId="0" applyNumberFormat="1" applyFont="1" applyBorder="1" applyAlignment="1">
      <alignment horizontal="left" vertical="center"/>
    </xf>
    <xf numFmtId="39" fontId="30" fillId="0" borderId="1" xfId="0" applyNumberFormat="1" applyFont="1" applyBorder="1" applyAlignment="1">
      <alignment vertical="center"/>
    </xf>
    <xf numFmtId="39" fontId="29" fillId="0" borderId="5" xfId="0" applyNumberFormat="1" applyFont="1" applyBorder="1" applyAlignment="1">
      <alignment horizontal="center" vertical="center" wrapText="1"/>
    </xf>
    <xf numFmtId="39" fontId="29" fillId="0" borderId="5" xfId="0" applyNumberFormat="1" applyFont="1" applyBorder="1" applyAlignment="1">
      <alignment horizontal="center" vertical="center"/>
    </xf>
    <xf numFmtId="39" fontId="29" fillId="0" borderId="6" xfId="0" applyNumberFormat="1" applyFont="1" applyBorder="1" applyAlignment="1">
      <alignment horizontal="center" vertical="center"/>
    </xf>
    <xf numFmtId="39" fontId="30" fillId="0" borderId="0" xfId="0" applyNumberFormat="1" applyFont="1" applyAlignment="1">
      <alignment horizontal="left" vertical="center"/>
    </xf>
    <xf numFmtId="39" fontId="30" fillId="0" borderId="0" xfId="0" applyNumberFormat="1" applyFont="1" applyAlignment="1">
      <alignment horizontal="center"/>
    </xf>
    <xf numFmtId="39" fontId="30" fillId="0" borderId="3" xfId="0" applyNumberFormat="1" applyFont="1" applyBorder="1"/>
    <xf numFmtId="39" fontId="30" fillId="0" borderId="0" xfId="0" applyNumberFormat="1" applyFont="1" applyAlignment="1">
      <alignment horizontal="left"/>
    </xf>
    <xf numFmtId="39" fontId="30" fillId="0" borderId="0" xfId="0" applyNumberFormat="1" applyFont="1" applyAlignment="1">
      <alignment horizontal="centerContinuous"/>
    </xf>
    <xf numFmtId="39" fontId="30" fillId="0" borderId="0" xfId="0" applyNumberFormat="1" applyFont="1" applyAlignment="1">
      <alignment horizontal="center" vertical="center"/>
    </xf>
    <xf numFmtId="39" fontId="28" fillId="0" borderId="0" xfId="0" applyNumberFormat="1" applyFont="1" applyAlignment="1">
      <alignment vertical="center"/>
    </xf>
    <xf numFmtId="39" fontId="33" fillId="0" borderId="0" xfId="2" applyNumberFormat="1" applyFont="1"/>
    <xf numFmtId="39" fontId="35" fillId="0" borderId="0" xfId="2" applyNumberFormat="1" applyFont="1"/>
    <xf numFmtId="39" fontId="36" fillId="0" borderId="0" xfId="2" applyNumberFormat="1" applyFont="1"/>
    <xf numFmtId="39" fontId="35" fillId="0" borderId="0" xfId="2" quotePrefix="1" applyNumberFormat="1" applyFont="1" applyAlignment="1">
      <alignment horizontal="left"/>
    </xf>
    <xf numFmtId="39" fontId="35" fillId="0" borderId="0" xfId="0" applyNumberFormat="1" applyFont="1"/>
    <xf numFmtId="39" fontId="35" fillId="0" borderId="0" xfId="0" quotePrefix="1" applyNumberFormat="1" applyFont="1"/>
    <xf numFmtId="39" fontId="34" fillId="0" borderId="0" xfId="0" applyNumberFormat="1" applyFont="1"/>
    <xf numFmtId="0" fontId="34" fillId="0" borderId="1" xfId="2" applyFont="1" applyBorder="1" applyAlignment="1">
      <alignment horizontal="left" vertical="center"/>
    </xf>
    <xf numFmtId="0" fontId="34" fillId="0" borderId="1" xfId="2" applyFont="1" applyBorder="1" applyAlignment="1">
      <alignment horizontal="center" vertical="center"/>
    </xf>
    <xf numFmtId="0" fontId="34" fillId="0" borderId="1" xfId="2" applyFont="1" applyBorder="1" applyAlignment="1">
      <alignment horizontal="right" vertical="center"/>
    </xf>
    <xf numFmtId="0" fontId="34" fillId="0" borderId="1" xfId="2" applyFont="1" applyBorder="1" applyAlignment="1">
      <alignment horizontal="centerContinuous" vertical="center"/>
    </xf>
    <xf numFmtId="4" fontId="34" fillId="0" borderId="1" xfId="2" applyNumberFormat="1" applyFont="1" applyBorder="1" applyAlignment="1">
      <alignment vertical="center"/>
    </xf>
    <xf numFmtId="39" fontId="34" fillId="0" borderId="0" xfId="2" applyNumberFormat="1" applyFont="1" applyAlignment="1">
      <alignment vertical="center"/>
    </xf>
    <xf numFmtId="39" fontId="35" fillId="0" borderId="0" xfId="0" quotePrefix="1" applyNumberFormat="1" applyFont="1" applyAlignment="1">
      <alignment horizontal="center"/>
    </xf>
    <xf numFmtId="39" fontId="37" fillId="0" borderId="0" xfId="0" quotePrefix="1" applyNumberFormat="1" applyFont="1" applyAlignment="1">
      <alignment horizontal="center"/>
    </xf>
    <xf numFmtId="39" fontId="37" fillId="0" borderId="0" xfId="0" applyNumberFormat="1" applyFont="1"/>
    <xf numFmtId="39" fontId="37" fillId="0" borderId="0" xfId="0" quotePrefix="1" applyNumberFormat="1" applyFont="1"/>
    <xf numFmtId="39" fontId="35" fillId="0" borderId="0" xfId="2" quotePrefix="1" applyNumberFormat="1" applyFont="1" applyAlignment="1">
      <alignment horizontal="center"/>
    </xf>
    <xf numFmtId="165" fontId="35" fillId="0" borderId="0" xfId="2" applyNumberFormat="1" applyFont="1" applyAlignment="1">
      <alignment horizontal="center"/>
    </xf>
    <xf numFmtId="39" fontId="35" fillId="0" borderId="2" xfId="2" applyNumberFormat="1" applyFont="1" applyBorder="1"/>
    <xf numFmtId="39" fontId="35" fillId="0" borderId="1" xfId="2" quotePrefix="1" applyNumberFormat="1" applyFont="1" applyBorder="1" applyAlignment="1">
      <alignment horizontal="left" vertical="center"/>
    </xf>
    <xf numFmtId="39" fontId="35" fillId="0" borderId="1" xfId="2" applyNumberFormat="1" applyFont="1" applyBorder="1" applyAlignment="1">
      <alignment horizontal="left" vertical="center"/>
    </xf>
    <xf numFmtId="39" fontId="35" fillId="0" borderId="1" xfId="2" applyNumberFormat="1" applyFont="1" applyBorder="1" applyAlignment="1">
      <alignment vertical="center"/>
    </xf>
    <xf numFmtId="39" fontId="35" fillId="0" borderId="0" xfId="2" quotePrefix="1" applyNumberFormat="1" applyFont="1"/>
    <xf numFmtId="39" fontId="34" fillId="0" borderId="5" xfId="0" applyNumberFormat="1" applyFont="1" applyBorder="1" applyAlignment="1">
      <alignment horizontal="center" vertical="center" wrapText="1"/>
    </xf>
    <xf numFmtId="39" fontId="34" fillId="0" borderId="5" xfId="0" applyNumberFormat="1" applyFont="1" applyBorder="1" applyAlignment="1">
      <alignment horizontal="center" vertical="center"/>
    </xf>
    <xf numFmtId="39" fontId="34" fillId="0" borderId="6" xfId="0" applyNumberFormat="1" applyFont="1" applyBorder="1" applyAlignment="1">
      <alignment horizontal="center" vertical="center"/>
    </xf>
    <xf numFmtId="39" fontId="35" fillId="0" borderId="0" xfId="2" applyNumberFormat="1" applyFont="1" applyAlignment="1">
      <alignment vertical="center"/>
    </xf>
    <xf numFmtId="39" fontId="35" fillId="0" borderId="0" xfId="2" applyNumberFormat="1" applyFont="1" applyAlignment="1">
      <alignment horizontal="center"/>
    </xf>
    <xf numFmtId="39" fontId="35" fillId="0" borderId="3" xfId="2" applyNumberFormat="1" applyFont="1" applyBorder="1"/>
    <xf numFmtId="39" fontId="35" fillId="0" borderId="0" xfId="2" applyNumberFormat="1" applyFont="1" applyAlignment="1">
      <alignment horizontal="left"/>
    </xf>
    <xf numFmtId="39" fontId="35" fillId="0" borderId="0" xfId="2" applyNumberFormat="1" applyFont="1" applyAlignment="1">
      <alignment horizontal="centerContinuous"/>
    </xf>
    <xf numFmtId="39" fontId="35" fillId="0" borderId="0" xfId="2" applyNumberFormat="1" applyFont="1" applyAlignment="1">
      <alignment horizontal="left" vertical="center"/>
    </xf>
    <xf numFmtId="39" fontId="35" fillId="0" borderId="0" xfId="2" applyNumberFormat="1" applyFont="1" applyAlignment="1">
      <alignment horizontal="center" vertical="center"/>
    </xf>
    <xf numFmtId="39" fontId="33" fillId="0" borderId="0" xfId="2" applyNumberFormat="1" applyFont="1" applyAlignment="1">
      <alignment vertical="center"/>
    </xf>
    <xf numFmtId="39" fontId="34" fillId="0" borderId="0" xfId="2" applyNumberFormat="1" applyFont="1"/>
    <xf numFmtId="39" fontId="22" fillId="0" borderId="0" xfId="0" applyNumberFormat="1" applyFont="1" applyAlignment="1">
      <alignment horizontal="center"/>
    </xf>
    <xf numFmtId="0" fontId="15" fillId="0" borderId="0" xfId="0" applyFont="1"/>
    <xf numFmtId="39" fontId="38" fillId="0" borderId="0" xfId="0" applyNumberFormat="1" applyFont="1"/>
    <xf numFmtId="14" fontId="2" fillId="0" borderId="0" xfId="2" applyNumberFormat="1" applyFont="1" applyAlignment="1">
      <alignment vertical="center"/>
    </xf>
    <xf numFmtId="165" fontId="15" fillId="0" borderId="0" xfId="2" quotePrefix="1" applyNumberFormat="1" applyFont="1" applyAlignment="1">
      <alignment horizontal="center" vertical="top"/>
    </xf>
    <xf numFmtId="43" fontId="15" fillId="0" borderId="0" xfId="1" quotePrefix="1" applyFont="1"/>
    <xf numFmtId="39" fontId="26" fillId="0" borderId="0" xfId="0" applyNumberFormat="1" applyFont="1"/>
    <xf numFmtId="0" fontId="26" fillId="0" borderId="0" xfId="1" quotePrefix="1" applyNumberFormat="1" applyFont="1" applyAlignment="1">
      <alignment horizontal="center"/>
    </xf>
    <xf numFmtId="169" fontId="1" fillId="0" borderId="0" xfId="7" applyNumberFormat="1" applyFont="1"/>
    <xf numFmtId="170" fontId="1" fillId="0" borderId="0" xfId="7" applyNumberFormat="1" applyFont="1"/>
    <xf numFmtId="171" fontId="15" fillId="0" borderId="0" xfId="2" applyNumberFormat="1" applyFont="1"/>
    <xf numFmtId="172" fontId="15" fillId="0" borderId="0" xfId="2" quotePrefix="1" applyNumberFormat="1" applyFont="1" applyAlignment="1">
      <alignment horizontal="left"/>
    </xf>
    <xf numFmtId="172" fontId="15" fillId="0" borderId="0" xfId="0" quotePrefix="1" applyNumberFormat="1" applyFont="1"/>
    <xf numFmtId="0" fontId="16" fillId="0" borderId="0" xfId="2" applyFont="1" applyAlignment="1">
      <alignment horizontal="right" vertical="center"/>
    </xf>
    <xf numFmtId="39" fontId="2" fillId="0" borderId="1" xfId="0" applyNumberFormat="1" applyFont="1" applyBorder="1" applyAlignment="1">
      <alignment horizontal="center" wrapText="1"/>
    </xf>
    <xf numFmtId="39" fontId="26" fillId="0" borderId="0" xfId="2" quotePrefix="1" applyNumberFormat="1" applyFont="1" applyAlignment="1">
      <alignment horizontal="left"/>
    </xf>
    <xf numFmtId="173" fontId="0" fillId="0" borderId="0" xfId="0" applyNumberFormat="1"/>
    <xf numFmtId="39" fontId="16" fillId="0" borderId="0" xfId="0" quotePrefix="1" applyNumberFormat="1" applyFont="1" applyAlignment="1">
      <alignment vertical="center"/>
    </xf>
    <xf numFmtId="39" fontId="40" fillId="0" borderId="0" xfId="0" applyNumberFormat="1" applyFont="1" applyAlignment="1">
      <alignment horizontal="left" vertical="center"/>
    </xf>
    <xf numFmtId="164" fontId="40" fillId="0" borderId="0" xfId="0" applyNumberFormat="1" applyFont="1" applyAlignment="1">
      <alignment horizontal="left" vertical="center"/>
    </xf>
    <xf numFmtId="164" fontId="16" fillId="0" borderId="0" xfId="0" quotePrefix="1" applyNumberFormat="1" applyFont="1" applyAlignment="1">
      <alignment horizontal="center" vertical="center"/>
    </xf>
    <xf numFmtId="164" fontId="16" fillId="0" borderId="0" xfId="0" applyNumberFormat="1" applyFont="1" applyAlignment="1">
      <alignment horizontal="left" vertical="center"/>
    </xf>
    <xf numFmtId="39" fontId="42" fillId="0" borderId="0" xfId="1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39" fontId="15" fillId="0" borderId="0" xfId="0" applyNumberFormat="1" applyFont="1" applyBorder="1"/>
    <xf numFmtId="39" fontId="15" fillId="0" borderId="0" xfId="0" applyNumberFormat="1" applyFont="1" applyBorder="1" applyAlignment="1">
      <alignment horizontal="center" vertical="center"/>
    </xf>
    <xf numFmtId="174" fontId="0" fillId="0" borderId="0" xfId="1" applyNumberFormat="1" applyFont="1"/>
    <xf numFmtId="174" fontId="15" fillId="0" borderId="0" xfId="1" applyNumberFormat="1" applyFont="1"/>
    <xf numFmtId="174" fontId="2" fillId="0" borderId="0" xfId="1" applyNumberFormat="1" applyFont="1" applyAlignment="1">
      <alignment vertical="center"/>
    </xf>
    <xf numFmtId="174" fontId="15" fillId="0" borderId="0" xfId="1" applyNumberFormat="1" applyFont="1" applyAlignment="1">
      <alignment vertical="center"/>
    </xf>
    <xf numFmtId="43" fontId="15" fillId="0" borderId="0" xfId="1" applyFont="1" applyAlignment="1">
      <alignment horizontal="center"/>
    </xf>
    <xf numFmtId="39" fontId="15" fillId="0" borderId="0" xfId="0" applyNumberFormat="1" applyFont="1" applyBorder="1" applyAlignment="1">
      <alignment horizontal="center"/>
    </xf>
    <xf numFmtId="39" fontId="15" fillId="0" borderId="0" xfId="0" applyNumberFormat="1" applyFont="1" applyBorder="1" applyAlignment="1">
      <alignment horizontal="left"/>
    </xf>
    <xf numFmtId="39" fontId="15" fillId="0" borderId="0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9" fontId="15" fillId="0" borderId="0" xfId="2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9" fontId="30" fillId="0" borderId="0" xfId="0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9" fontId="35" fillId="0" borderId="0" xfId="2" applyNumberFormat="1" applyFont="1" applyBorder="1"/>
    <xf numFmtId="39" fontId="10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2" xfId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9" fontId="10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9" fontId="4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9" fontId="15" fillId="0" borderId="0" xfId="2" applyNumberFormat="1" applyFont="1" applyBorder="1" applyAlignment="1">
      <alignment horizontal="left"/>
    </xf>
    <xf numFmtId="39" fontId="15" fillId="0" borderId="0" xfId="2" applyNumberFormat="1" applyFont="1" applyBorder="1" applyAlignment="1">
      <alignment horizontal="left" vertical="center"/>
    </xf>
    <xf numFmtId="39" fontId="26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75" fontId="15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9" fontId="15" fillId="0" borderId="0" xfId="2" applyNumberFormat="1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39" fontId="2" fillId="0" borderId="0" xfId="0" applyNumberFormat="1" applyFont="1"/>
    <xf numFmtId="39" fontId="15" fillId="0" borderId="0" xfId="0" applyNumberFormat="1" applyFont="1"/>
    <xf numFmtId="39" fontId="15" fillId="0" borderId="0" xfId="0" quotePrefix="1" applyNumberFormat="1" applyFont="1" applyAlignment="1">
      <alignment horizontal="left"/>
    </xf>
    <xf numFmtId="39" fontId="15" fillId="0" borderId="0" xfId="0" quotePrefix="1" applyNumberFormat="1" applyFont="1" applyAlignment="1">
      <alignment horizontal="center"/>
    </xf>
    <xf numFmtId="39" fontId="15" fillId="0" borderId="0" xfId="0" quotePrefix="1" applyNumberFormat="1" applyFont="1"/>
    <xf numFmtId="39" fontId="15" fillId="0" borderId="0" xfId="0" applyNumberFormat="1" applyFont="1" applyAlignment="1">
      <alignment horizontal="left"/>
    </xf>
    <xf numFmtId="39" fontId="15" fillId="0" borderId="0" xfId="2" applyNumberFormat="1" applyFont="1"/>
    <xf numFmtId="39" fontId="15" fillId="0" borderId="0" xfId="2" quotePrefix="1" applyNumberFormat="1" applyFont="1" applyAlignment="1">
      <alignment horizontal="left"/>
    </xf>
    <xf numFmtId="39" fontId="15" fillId="0" borderId="0" xfId="2" applyNumberFormat="1" applyFont="1" applyAlignment="1">
      <alignment vertical="center"/>
    </xf>
    <xf numFmtId="39" fontId="2" fillId="0" borderId="0" xfId="2" applyNumberFormat="1" applyFont="1"/>
    <xf numFmtId="39" fontId="15" fillId="0" borderId="0" xfId="2" quotePrefix="1" applyNumberFormat="1" applyFont="1" applyAlignment="1">
      <alignment horizontal="center"/>
    </xf>
    <xf numFmtId="39" fontId="15" fillId="0" borderId="0" xfId="2" applyNumberFormat="1" applyFont="1" applyAlignment="1">
      <alignment horizontal="left"/>
    </xf>
    <xf numFmtId="39" fontId="15" fillId="0" borderId="0" xfId="2" applyNumberFormat="1" applyFont="1" applyAlignment="1">
      <alignment horizontal="left" vertical="center"/>
    </xf>
    <xf numFmtId="164" fontId="15" fillId="0" borderId="0" xfId="2" quotePrefix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0" xfId="0" applyNumberFormat="1"/>
    <xf numFmtId="177" fontId="0" fillId="0" borderId="0" xfId="0" applyNumberFormat="1"/>
    <xf numFmtId="168" fontId="15" fillId="0" borderId="0" xfId="2" applyNumberFormat="1" applyFont="1"/>
    <xf numFmtId="0" fontId="2" fillId="0" borderId="1" xfId="0" applyFont="1" applyBorder="1" applyAlignment="1">
      <alignment horizontal="center" vertical="center"/>
    </xf>
    <xf numFmtId="168" fontId="15" fillId="0" borderId="0" xfId="0" applyNumberFormat="1" applyFont="1"/>
    <xf numFmtId="39" fontId="22" fillId="0" borderId="0" xfId="2" quotePrefix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9" fontId="44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5" fillId="0" borderId="0" xfId="0" applyNumberFormat="1" applyFont="1"/>
    <xf numFmtId="176" fontId="1" fillId="0" borderId="0" xfId="2" applyNumberFormat="1"/>
    <xf numFmtId="39" fontId="15" fillId="0" borderId="0" xfId="0" quotePrefix="1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177" fontId="15" fillId="0" borderId="0" xfId="0" applyNumberFormat="1" applyFont="1"/>
    <xf numFmtId="39" fontId="22" fillId="0" borderId="0" xfId="0" quotePrefix="1" applyNumberFormat="1" applyFont="1" applyAlignment="1">
      <alignment horizontal="left"/>
    </xf>
    <xf numFmtId="43" fontId="45" fillId="0" borderId="0" xfId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9" fontId="6" fillId="0" borderId="0" xfId="0" applyNumberFormat="1" applyFont="1" applyAlignment="1">
      <alignment horizontal="center"/>
    </xf>
    <xf numFmtId="39" fontId="10" fillId="0" borderId="0" xfId="0" applyNumberFormat="1" applyFont="1" applyAlignment="1">
      <alignment horizontal="center"/>
    </xf>
    <xf numFmtId="39" fontId="2" fillId="0" borderId="0" xfId="0" applyNumberFormat="1" applyFont="1" applyAlignment="1">
      <alignment horizontal="center"/>
    </xf>
    <xf numFmtId="39" fontId="6" fillId="0" borderId="0" xfId="2" applyNumberFormat="1" applyFont="1" applyAlignment="1">
      <alignment horizontal="center"/>
    </xf>
    <xf numFmtId="39" fontId="2" fillId="0" borderId="0" xfId="2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9" fontId="32" fillId="0" borderId="0" xfId="2" applyNumberFormat="1" applyFont="1" applyAlignment="1">
      <alignment horizontal="center"/>
    </xf>
    <xf numFmtId="39" fontId="34" fillId="0" borderId="0" xfId="2" applyNumberFormat="1" applyFont="1" applyAlignment="1">
      <alignment horizontal="center"/>
    </xf>
    <xf numFmtId="39" fontId="13" fillId="0" borderId="0" xfId="0" applyNumberFormat="1" applyFont="1" applyAlignment="1">
      <alignment horizontal="center"/>
    </xf>
    <xf numFmtId="39" fontId="27" fillId="0" borderId="0" xfId="0" applyNumberFormat="1" applyFont="1" applyAlignment="1">
      <alignment horizontal="center"/>
    </xf>
    <xf numFmtId="39" fontId="29" fillId="0" borderId="0" xfId="0" applyNumberFormat="1" applyFont="1" applyAlignment="1">
      <alignment horizontal="center"/>
    </xf>
  </cellXfs>
  <cellStyles count="11">
    <cellStyle name="Comma" xfId="1" builtinId="3"/>
    <cellStyle name="Comma 2" xfId="9" xr:uid="{00000000-0005-0000-0000-000034000000}"/>
    <cellStyle name="Hyperlink" xfId="10" builtinId="8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4" xfId="6" xr:uid="{00000000-0005-0000-0000-000006000000}"/>
    <cellStyle name="Normal 5" xfId="8" xr:uid="{00000000-0005-0000-0000-000035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366" Type="http://schemas.openxmlformats.org/officeDocument/2006/relationships/worksheet" Target="worksheets/sheet366.xml"/><Relationship Id="rId531" Type="http://schemas.openxmlformats.org/officeDocument/2006/relationships/worksheet" Target="worksheets/sheet531.xml"/><Relationship Id="rId573" Type="http://schemas.openxmlformats.org/officeDocument/2006/relationships/worksheet" Target="worksheets/sheet573.xml"/><Relationship Id="rId629" Type="http://schemas.openxmlformats.org/officeDocument/2006/relationships/worksheet" Target="worksheets/sheet629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433" Type="http://schemas.openxmlformats.org/officeDocument/2006/relationships/worksheet" Target="worksheets/sheet433.xml"/><Relationship Id="rId268" Type="http://schemas.openxmlformats.org/officeDocument/2006/relationships/worksheet" Target="worksheets/sheet268.xml"/><Relationship Id="rId475" Type="http://schemas.openxmlformats.org/officeDocument/2006/relationships/worksheet" Target="worksheets/sheet475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377" Type="http://schemas.openxmlformats.org/officeDocument/2006/relationships/worksheet" Target="worksheets/sheet377.xml"/><Relationship Id="rId500" Type="http://schemas.openxmlformats.org/officeDocument/2006/relationships/worksheet" Target="worksheets/sheet500.xml"/><Relationship Id="rId542" Type="http://schemas.openxmlformats.org/officeDocument/2006/relationships/worksheet" Target="worksheets/sheet542.xml"/><Relationship Id="rId584" Type="http://schemas.openxmlformats.org/officeDocument/2006/relationships/worksheet" Target="worksheets/sheet584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402" Type="http://schemas.openxmlformats.org/officeDocument/2006/relationships/worksheet" Target="worksheets/sheet402.xml"/><Relationship Id="rId279" Type="http://schemas.openxmlformats.org/officeDocument/2006/relationships/worksheet" Target="worksheets/sheet279.xml"/><Relationship Id="rId444" Type="http://schemas.openxmlformats.org/officeDocument/2006/relationships/worksheet" Target="worksheets/sheet444.xml"/><Relationship Id="rId486" Type="http://schemas.openxmlformats.org/officeDocument/2006/relationships/worksheet" Target="worksheets/sheet486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46" Type="http://schemas.openxmlformats.org/officeDocument/2006/relationships/worksheet" Target="worksheets/sheet346.xml"/><Relationship Id="rId388" Type="http://schemas.openxmlformats.org/officeDocument/2006/relationships/worksheet" Target="worksheets/sheet388.xml"/><Relationship Id="rId511" Type="http://schemas.openxmlformats.org/officeDocument/2006/relationships/worksheet" Target="worksheets/sheet511.xml"/><Relationship Id="rId553" Type="http://schemas.openxmlformats.org/officeDocument/2006/relationships/worksheet" Target="worksheets/sheet553.xml"/><Relationship Id="rId609" Type="http://schemas.openxmlformats.org/officeDocument/2006/relationships/worksheet" Target="worksheets/sheet60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413" Type="http://schemas.openxmlformats.org/officeDocument/2006/relationships/worksheet" Target="worksheets/sheet413.xml"/><Relationship Id="rId595" Type="http://schemas.openxmlformats.org/officeDocument/2006/relationships/worksheet" Target="worksheets/sheet595.xml"/><Relationship Id="rId248" Type="http://schemas.openxmlformats.org/officeDocument/2006/relationships/worksheet" Target="worksheets/sheet248.xml"/><Relationship Id="rId455" Type="http://schemas.openxmlformats.org/officeDocument/2006/relationships/worksheet" Target="worksheets/sheet455.xml"/><Relationship Id="rId497" Type="http://schemas.openxmlformats.org/officeDocument/2006/relationships/worksheet" Target="worksheets/sheet497.xml"/><Relationship Id="rId620" Type="http://schemas.openxmlformats.org/officeDocument/2006/relationships/worksheet" Target="worksheets/sheet620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357" Type="http://schemas.openxmlformats.org/officeDocument/2006/relationships/worksheet" Target="worksheets/sheet357.xml"/><Relationship Id="rId522" Type="http://schemas.openxmlformats.org/officeDocument/2006/relationships/worksheet" Target="worksheets/sheet522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399" Type="http://schemas.openxmlformats.org/officeDocument/2006/relationships/worksheet" Target="worksheets/sheet399.xml"/><Relationship Id="rId564" Type="http://schemas.openxmlformats.org/officeDocument/2006/relationships/worksheet" Target="worksheets/sheet564.xml"/><Relationship Id="rId259" Type="http://schemas.openxmlformats.org/officeDocument/2006/relationships/worksheet" Target="worksheets/sheet259.xml"/><Relationship Id="rId424" Type="http://schemas.openxmlformats.org/officeDocument/2006/relationships/worksheet" Target="worksheets/sheet424.xml"/><Relationship Id="rId466" Type="http://schemas.openxmlformats.org/officeDocument/2006/relationships/worksheet" Target="worksheets/sheet466.xml"/><Relationship Id="rId631" Type="http://schemas.openxmlformats.org/officeDocument/2006/relationships/worksheet" Target="worksheets/sheet631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326" Type="http://schemas.openxmlformats.org/officeDocument/2006/relationships/worksheet" Target="worksheets/sheet326.xml"/><Relationship Id="rId533" Type="http://schemas.openxmlformats.org/officeDocument/2006/relationships/worksheet" Target="worksheets/sheet533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worksheet" Target="worksheets/sheet368.xml"/><Relationship Id="rId575" Type="http://schemas.openxmlformats.org/officeDocument/2006/relationships/worksheet" Target="worksheets/sheet575.xml"/><Relationship Id="rId172" Type="http://schemas.openxmlformats.org/officeDocument/2006/relationships/worksheet" Target="worksheets/sheet172.xml"/><Relationship Id="rId228" Type="http://schemas.openxmlformats.org/officeDocument/2006/relationships/worksheet" Target="worksheets/sheet228.xml"/><Relationship Id="rId435" Type="http://schemas.openxmlformats.org/officeDocument/2006/relationships/worksheet" Target="worksheets/sheet435.xml"/><Relationship Id="rId477" Type="http://schemas.openxmlformats.org/officeDocument/2006/relationships/worksheet" Target="worksheets/sheet477.xml"/><Relationship Id="rId600" Type="http://schemas.openxmlformats.org/officeDocument/2006/relationships/worksheet" Target="worksheets/sheet600.xml"/><Relationship Id="rId281" Type="http://schemas.openxmlformats.org/officeDocument/2006/relationships/worksheet" Target="worksheets/sheet281.xml"/><Relationship Id="rId337" Type="http://schemas.openxmlformats.org/officeDocument/2006/relationships/worksheet" Target="worksheets/sheet337.xml"/><Relationship Id="rId502" Type="http://schemas.openxmlformats.org/officeDocument/2006/relationships/worksheet" Target="worksheets/sheet502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worksheet" Target="worksheets/sheet379.xml"/><Relationship Id="rId544" Type="http://schemas.openxmlformats.org/officeDocument/2006/relationships/worksheet" Target="worksheets/sheet544.xml"/><Relationship Id="rId586" Type="http://schemas.openxmlformats.org/officeDocument/2006/relationships/worksheet" Target="worksheets/sheet586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390" Type="http://schemas.openxmlformats.org/officeDocument/2006/relationships/worksheet" Target="worksheets/sheet390.xml"/><Relationship Id="rId404" Type="http://schemas.openxmlformats.org/officeDocument/2006/relationships/worksheet" Target="worksheets/sheet404.xml"/><Relationship Id="rId446" Type="http://schemas.openxmlformats.org/officeDocument/2006/relationships/worksheet" Target="worksheets/sheet446.xml"/><Relationship Id="rId611" Type="http://schemas.openxmlformats.org/officeDocument/2006/relationships/worksheet" Target="worksheets/sheet611.xml"/><Relationship Id="rId250" Type="http://schemas.openxmlformats.org/officeDocument/2006/relationships/worksheet" Target="worksheets/sheet250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488" Type="http://schemas.openxmlformats.org/officeDocument/2006/relationships/worksheet" Target="worksheets/sheet488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worksheet" Target="worksheets/sheet348.xml"/><Relationship Id="rId513" Type="http://schemas.openxmlformats.org/officeDocument/2006/relationships/worksheet" Target="worksheets/sheet513.xml"/><Relationship Id="rId555" Type="http://schemas.openxmlformats.org/officeDocument/2006/relationships/worksheet" Target="worksheets/sheet555.xml"/><Relationship Id="rId597" Type="http://schemas.openxmlformats.org/officeDocument/2006/relationships/worksheet" Target="worksheets/sheet597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415" Type="http://schemas.openxmlformats.org/officeDocument/2006/relationships/worksheet" Target="worksheets/sheet415.xml"/><Relationship Id="rId457" Type="http://schemas.openxmlformats.org/officeDocument/2006/relationships/worksheet" Target="worksheets/sheet457.xml"/><Relationship Id="rId622" Type="http://schemas.openxmlformats.org/officeDocument/2006/relationships/worksheet" Target="worksheets/sheet622.xml"/><Relationship Id="rId261" Type="http://schemas.openxmlformats.org/officeDocument/2006/relationships/worksheet" Target="worksheets/sheet261.xml"/><Relationship Id="rId499" Type="http://schemas.openxmlformats.org/officeDocument/2006/relationships/worksheet" Target="worksheets/sheet499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worksheet" Target="worksheets/sheet317.xml"/><Relationship Id="rId359" Type="http://schemas.openxmlformats.org/officeDocument/2006/relationships/worksheet" Target="worksheets/sheet359.xml"/><Relationship Id="rId524" Type="http://schemas.openxmlformats.org/officeDocument/2006/relationships/worksheet" Target="worksheets/sheet524.xml"/><Relationship Id="rId566" Type="http://schemas.openxmlformats.org/officeDocument/2006/relationships/worksheet" Target="worksheets/sheet566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426" Type="http://schemas.openxmlformats.org/officeDocument/2006/relationships/worksheet" Target="worksheets/sheet426.xml"/><Relationship Id="rId633" Type="http://schemas.openxmlformats.org/officeDocument/2006/relationships/styles" Target="styles.xml"/><Relationship Id="rId230" Type="http://schemas.openxmlformats.org/officeDocument/2006/relationships/worksheet" Target="worksheets/sheet230.xml"/><Relationship Id="rId468" Type="http://schemas.openxmlformats.org/officeDocument/2006/relationships/worksheet" Target="worksheets/sheet468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328" Type="http://schemas.openxmlformats.org/officeDocument/2006/relationships/worksheet" Target="worksheets/sheet328.xml"/><Relationship Id="rId535" Type="http://schemas.openxmlformats.org/officeDocument/2006/relationships/worksheet" Target="worksheets/sheet535.xml"/><Relationship Id="rId577" Type="http://schemas.openxmlformats.org/officeDocument/2006/relationships/worksheet" Target="worksheets/sheet577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worksheet" Target="worksheets/sheet381.xml"/><Relationship Id="rId602" Type="http://schemas.openxmlformats.org/officeDocument/2006/relationships/worksheet" Target="worksheets/sheet602.xml"/><Relationship Id="rId241" Type="http://schemas.openxmlformats.org/officeDocument/2006/relationships/worksheet" Target="worksheets/sheet241.xml"/><Relationship Id="rId437" Type="http://schemas.openxmlformats.org/officeDocument/2006/relationships/worksheet" Target="worksheets/sheet437.xml"/><Relationship Id="rId479" Type="http://schemas.openxmlformats.org/officeDocument/2006/relationships/worksheet" Target="worksheets/sheet479.xml"/><Relationship Id="rId36" Type="http://schemas.openxmlformats.org/officeDocument/2006/relationships/worksheet" Target="worksheets/sheet36.xml"/><Relationship Id="rId283" Type="http://schemas.openxmlformats.org/officeDocument/2006/relationships/worksheet" Target="worksheets/sheet283.xml"/><Relationship Id="rId339" Type="http://schemas.openxmlformats.org/officeDocument/2006/relationships/worksheet" Target="worksheets/sheet339.xml"/><Relationship Id="rId490" Type="http://schemas.openxmlformats.org/officeDocument/2006/relationships/worksheet" Target="worksheets/sheet490.xml"/><Relationship Id="rId504" Type="http://schemas.openxmlformats.org/officeDocument/2006/relationships/worksheet" Target="worksheets/sheet504.xml"/><Relationship Id="rId546" Type="http://schemas.openxmlformats.org/officeDocument/2006/relationships/worksheet" Target="worksheets/sheet546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406" Type="http://schemas.openxmlformats.org/officeDocument/2006/relationships/worksheet" Target="worksheets/sheet406.xml"/><Relationship Id="rId588" Type="http://schemas.openxmlformats.org/officeDocument/2006/relationships/worksheet" Target="worksheets/sheet588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392" Type="http://schemas.openxmlformats.org/officeDocument/2006/relationships/worksheet" Target="worksheets/sheet392.xml"/><Relationship Id="rId448" Type="http://schemas.openxmlformats.org/officeDocument/2006/relationships/worksheet" Target="worksheets/sheet448.xml"/><Relationship Id="rId613" Type="http://schemas.openxmlformats.org/officeDocument/2006/relationships/worksheet" Target="worksheets/sheet613.xml"/><Relationship Id="rId252" Type="http://schemas.openxmlformats.org/officeDocument/2006/relationships/worksheet" Target="worksheets/sheet252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515" Type="http://schemas.openxmlformats.org/officeDocument/2006/relationships/worksheet" Target="worksheets/sheet515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worksheet" Target="worksheets/sheet361.xml"/><Relationship Id="rId557" Type="http://schemas.openxmlformats.org/officeDocument/2006/relationships/worksheet" Target="worksheets/sheet557.xml"/><Relationship Id="rId599" Type="http://schemas.openxmlformats.org/officeDocument/2006/relationships/worksheet" Target="worksheets/sheet599.xml"/><Relationship Id="rId196" Type="http://schemas.openxmlformats.org/officeDocument/2006/relationships/worksheet" Target="worksheets/sheet196.xml"/><Relationship Id="rId417" Type="http://schemas.openxmlformats.org/officeDocument/2006/relationships/worksheet" Target="worksheets/sheet417.xml"/><Relationship Id="rId459" Type="http://schemas.openxmlformats.org/officeDocument/2006/relationships/worksheet" Target="worksheets/sheet459.xml"/><Relationship Id="rId624" Type="http://schemas.openxmlformats.org/officeDocument/2006/relationships/worksheet" Target="worksheets/sheet624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63" Type="http://schemas.openxmlformats.org/officeDocument/2006/relationships/worksheet" Target="worksheets/sheet263.xml"/><Relationship Id="rId319" Type="http://schemas.openxmlformats.org/officeDocument/2006/relationships/worksheet" Target="worksheets/sheet319.xml"/><Relationship Id="rId470" Type="http://schemas.openxmlformats.org/officeDocument/2006/relationships/worksheet" Target="worksheets/sheet470.xml"/><Relationship Id="rId526" Type="http://schemas.openxmlformats.org/officeDocument/2006/relationships/worksheet" Target="worksheets/sheet526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worksheet" Target="worksheets/sheet330.xml"/><Relationship Id="rId568" Type="http://schemas.openxmlformats.org/officeDocument/2006/relationships/worksheet" Target="worksheets/sheet568.xml"/><Relationship Id="rId165" Type="http://schemas.openxmlformats.org/officeDocument/2006/relationships/worksheet" Target="worksheets/sheet165.xml"/><Relationship Id="rId372" Type="http://schemas.openxmlformats.org/officeDocument/2006/relationships/worksheet" Target="worksheets/sheet372.xml"/><Relationship Id="rId428" Type="http://schemas.openxmlformats.org/officeDocument/2006/relationships/worksheet" Target="worksheets/sheet428.xml"/><Relationship Id="rId635" Type="http://schemas.openxmlformats.org/officeDocument/2006/relationships/calcChain" Target="calcChain.xml"/><Relationship Id="rId232" Type="http://schemas.openxmlformats.org/officeDocument/2006/relationships/worksheet" Target="worksheets/sheet232.xml"/><Relationship Id="rId274" Type="http://schemas.openxmlformats.org/officeDocument/2006/relationships/worksheet" Target="worksheets/sheet274.xml"/><Relationship Id="rId481" Type="http://schemas.openxmlformats.org/officeDocument/2006/relationships/worksheet" Target="worksheets/sheet481.xml"/><Relationship Id="rId27" Type="http://schemas.openxmlformats.org/officeDocument/2006/relationships/worksheet" Target="worksheets/sheet27.xml"/><Relationship Id="rId69" Type="http://schemas.openxmlformats.org/officeDocument/2006/relationships/worksheet" Target="worksheets/sheet69.xml"/><Relationship Id="rId134" Type="http://schemas.openxmlformats.org/officeDocument/2006/relationships/worksheet" Target="worksheets/sheet134.xml"/><Relationship Id="rId537" Type="http://schemas.openxmlformats.org/officeDocument/2006/relationships/worksheet" Target="worksheets/sheet537.xml"/><Relationship Id="rId579" Type="http://schemas.openxmlformats.org/officeDocument/2006/relationships/worksheet" Target="worksheets/sheet579.xml"/><Relationship Id="rId80" Type="http://schemas.openxmlformats.org/officeDocument/2006/relationships/worksheet" Target="worksheets/sheet80.xml"/><Relationship Id="rId176" Type="http://schemas.openxmlformats.org/officeDocument/2006/relationships/worksheet" Target="worksheets/sheet176.xml"/><Relationship Id="rId341" Type="http://schemas.openxmlformats.org/officeDocument/2006/relationships/worksheet" Target="worksheets/sheet341.xml"/><Relationship Id="rId383" Type="http://schemas.openxmlformats.org/officeDocument/2006/relationships/worksheet" Target="worksheets/sheet383.xml"/><Relationship Id="rId439" Type="http://schemas.openxmlformats.org/officeDocument/2006/relationships/worksheet" Target="worksheets/sheet439.xml"/><Relationship Id="rId590" Type="http://schemas.openxmlformats.org/officeDocument/2006/relationships/worksheet" Target="worksheets/sheet590.xml"/><Relationship Id="rId604" Type="http://schemas.openxmlformats.org/officeDocument/2006/relationships/worksheet" Target="worksheets/sheet604.xml"/><Relationship Id="rId201" Type="http://schemas.openxmlformats.org/officeDocument/2006/relationships/worksheet" Target="worksheets/sheet201.xml"/><Relationship Id="rId243" Type="http://schemas.openxmlformats.org/officeDocument/2006/relationships/worksheet" Target="worksheets/sheet243.xml"/><Relationship Id="rId285" Type="http://schemas.openxmlformats.org/officeDocument/2006/relationships/worksheet" Target="worksheets/sheet285.xml"/><Relationship Id="rId450" Type="http://schemas.openxmlformats.org/officeDocument/2006/relationships/worksheet" Target="worksheets/sheet450.xml"/><Relationship Id="rId506" Type="http://schemas.openxmlformats.org/officeDocument/2006/relationships/worksheet" Target="worksheets/sheet50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310" Type="http://schemas.openxmlformats.org/officeDocument/2006/relationships/worksheet" Target="worksheets/sheet310.xml"/><Relationship Id="rId492" Type="http://schemas.openxmlformats.org/officeDocument/2006/relationships/worksheet" Target="worksheets/sheet492.xml"/><Relationship Id="rId527" Type="http://schemas.openxmlformats.org/officeDocument/2006/relationships/worksheet" Target="worksheets/sheet527.xml"/><Relationship Id="rId548" Type="http://schemas.openxmlformats.org/officeDocument/2006/relationships/worksheet" Target="worksheets/sheet548.xml"/><Relationship Id="rId569" Type="http://schemas.openxmlformats.org/officeDocument/2006/relationships/worksheet" Target="worksheets/sheet569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331" Type="http://schemas.openxmlformats.org/officeDocument/2006/relationships/worksheet" Target="worksheets/sheet331.xml"/><Relationship Id="rId352" Type="http://schemas.openxmlformats.org/officeDocument/2006/relationships/worksheet" Target="worksheets/sheet352.xml"/><Relationship Id="rId373" Type="http://schemas.openxmlformats.org/officeDocument/2006/relationships/worksheet" Target="worksheets/sheet373.xml"/><Relationship Id="rId394" Type="http://schemas.openxmlformats.org/officeDocument/2006/relationships/worksheet" Target="worksheets/sheet394.xml"/><Relationship Id="rId408" Type="http://schemas.openxmlformats.org/officeDocument/2006/relationships/worksheet" Target="worksheets/sheet408.xml"/><Relationship Id="rId429" Type="http://schemas.openxmlformats.org/officeDocument/2006/relationships/worksheet" Target="worksheets/sheet429.xml"/><Relationship Id="rId580" Type="http://schemas.openxmlformats.org/officeDocument/2006/relationships/worksheet" Target="worksheets/sheet580.xml"/><Relationship Id="rId615" Type="http://schemas.openxmlformats.org/officeDocument/2006/relationships/worksheet" Target="worksheets/sheet615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Relationship Id="rId440" Type="http://schemas.openxmlformats.org/officeDocument/2006/relationships/worksheet" Target="worksheets/sheet440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75" Type="http://schemas.openxmlformats.org/officeDocument/2006/relationships/worksheet" Target="worksheets/sheet275.xml"/><Relationship Id="rId296" Type="http://schemas.openxmlformats.org/officeDocument/2006/relationships/worksheet" Target="worksheets/sheet296.xml"/><Relationship Id="rId300" Type="http://schemas.openxmlformats.org/officeDocument/2006/relationships/worksheet" Target="worksheets/sheet300.xml"/><Relationship Id="rId461" Type="http://schemas.openxmlformats.org/officeDocument/2006/relationships/worksheet" Target="worksheets/sheet461.xml"/><Relationship Id="rId482" Type="http://schemas.openxmlformats.org/officeDocument/2006/relationships/worksheet" Target="worksheets/sheet482.xml"/><Relationship Id="rId517" Type="http://schemas.openxmlformats.org/officeDocument/2006/relationships/worksheet" Target="worksheets/sheet517.xml"/><Relationship Id="rId538" Type="http://schemas.openxmlformats.org/officeDocument/2006/relationships/worksheet" Target="worksheets/sheet538.xml"/><Relationship Id="rId559" Type="http://schemas.openxmlformats.org/officeDocument/2006/relationships/worksheet" Target="worksheets/sheet559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42" Type="http://schemas.openxmlformats.org/officeDocument/2006/relationships/worksheet" Target="worksheets/sheet342.xml"/><Relationship Id="rId363" Type="http://schemas.openxmlformats.org/officeDocument/2006/relationships/worksheet" Target="worksheets/sheet363.xml"/><Relationship Id="rId384" Type="http://schemas.openxmlformats.org/officeDocument/2006/relationships/worksheet" Target="worksheets/sheet384.xml"/><Relationship Id="rId419" Type="http://schemas.openxmlformats.org/officeDocument/2006/relationships/worksheet" Target="worksheets/sheet419.xml"/><Relationship Id="rId570" Type="http://schemas.openxmlformats.org/officeDocument/2006/relationships/worksheet" Target="worksheets/sheet570.xml"/><Relationship Id="rId591" Type="http://schemas.openxmlformats.org/officeDocument/2006/relationships/worksheet" Target="worksheets/sheet591.xml"/><Relationship Id="rId605" Type="http://schemas.openxmlformats.org/officeDocument/2006/relationships/worksheet" Target="worksheets/sheet605.xml"/><Relationship Id="rId626" Type="http://schemas.openxmlformats.org/officeDocument/2006/relationships/worksheet" Target="worksheets/sheet626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244" Type="http://schemas.openxmlformats.org/officeDocument/2006/relationships/worksheet" Target="worksheets/sheet244.xml"/><Relationship Id="rId430" Type="http://schemas.openxmlformats.org/officeDocument/2006/relationships/worksheet" Target="worksheets/sheet430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451" Type="http://schemas.openxmlformats.org/officeDocument/2006/relationships/worksheet" Target="worksheets/sheet451.xml"/><Relationship Id="rId472" Type="http://schemas.openxmlformats.org/officeDocument/2006/relationships/worksheet" Target="worksheets/sheet472.xml"/><Relationship Id="rId493" Type="http://schemas.openxmlformats.org/officeDocument/2006/relationships/worksheet" Target="worksheets/sheet493.xml"/><Relationship Id="rId507" Type="http://schemas.openxmlformats.org/officeDocument/2006/relationships/worksheet" Target="worksheets/sheet507.xml"/><Relationship Id="rId528" Type="http://schemas.openxmlformats.org/officeDocument/2006/relationships/worksheet" Target="worksheets/sheet528.xml"/><Relationship Id="rId549" Type="http://schemas.openxmlformats.org/officeDocument/2006/relationships/worksheet" Target="worksheets/sheet54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32" Type="http://schemas.openxmlformats.org/officeDocument/2006/relationships/worksheet" Target="worksheets/sheet332.xml"/><Relationship Id="rId353" Type="http://schemas.openxmlformats.org/officeDocument/2006/relationships/worksheet" Target="worksheets/sheet353.xml"/><Relationship Id="rId374" Type="http://schemas.openxmlformats.org/officeDocument/2006/relationships/worksheet" Target="worksheets/sheet374.xml"/><Relationship Id="rId395" Type="http://schemas.openxmlformats.org/officeDocument/2006/relationships/worksheet" Target="worksheets/sheet395.xml"/><Relationship Id="rId409" Type="http://schemas.openxmlformats.org/officeDocument/2006/relationships/worksheet" Target="worksheets/sheet409.xml"/><Relationship Id="rId560" Type="http://schemas.openxmlformats.org/officeDocument/2006/relationships/worksheet" Target="worksheets/sheet560.xml"/><Relationship Id="rId581" Type="http://schemas.openxmlformats.org/officeDocument/2006/relationships/worksheet" Target="worksheets/sheet581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420" Type="http://schemas.openxmlformats.org/officeDocument/2006/relationships/worksheet" Target="worksheets/sheet420.xml"/><Relationship Id="rId616" Type="http://schemas.openxmlformats.org/officeDocument/2006/relationships/worksheet" Target="worksheets/sheet616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41" Type="http://schemas.openxmlformats.org/officeDocument/2006/relationships/worksheet" Target="worksheets/sheet441.xml"/><Relationship Id="rId462" Type="http://schemas.openxmlformats.org/officeDocument/2006/relationships/worksheet" Target="worksheets/sheet462.xml"/><Relationship Id="rId483" Type="http://schemas.openxmlformats.org/officeDocument/2006/relationships/worksheet" Target="worksheets/sheet483.xml"/><Relationship Id="rId518" Type="http://schemas.openxmlformats.org/officeDocument/2006/relationships/worksheet" Target="worksheets/sheet518.xml"/><Relationship Id="rId539" Type="http://schemas.openxmlformats.org/officeDocument/2006/relationships/worksheet" Target="worksheets/sheet53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22" Type="http://schemas.openxmlformats.org/officeDocument/2006/relationships/worksheet" Target="worksheets/sheet322.xml"/><Relationship Id="rId343" Type="http://schemas.openxmlformats.org/officeDocument/2006/relationships/worksheet" Target="worksheets/sheet343.xml"/><Relationship Id="rId364" Type="http://schemas.openxmlformats.org/officeDocument/2006/relationships/worksheet" Target="worksheets/sheet364.xml"/><Relationship Id="rId550" Type="http://schemas.openxmlformats.org/officeDocument/2006/relationships/worksheet" Target="worksheets/sheet550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385" Type="http://schemas.openxmlformats.org/officeDocument/2006/relationships/worksheet" Target="worksheets/sheet385.xml"/><Relationship Id="rId571" Type="http://schemas.openxmlformats.org/officeDocument/2006/relationships/worksheet" Target="worksheets/sheet571.xml"/><Relationship Id="rId592" Type="http://schemas.openxmlformats.org/officeDocument/2006/relationships/worksheet" Target="worksheets/sheet592.xml"/><Relationship Id="rId606" Type="http://schemas.openxmlformats.org/officeDocument/2006/relationships/worksheet" Target="worksheets/sheet606.xml"/><Relationship Id="rId627" Type="http://schemas.openxmlformats.org/officeDocument/2006/relationships/worksheet" Target="worksheets/sheet627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410" Type="http://schemas.openxmlformats.org/officeDocument/2006/relationships/worksheet" Target="worksheets/sheet410.xml"/><Relationship Id="rId431" Type="http://schemas.openxmlformats.org/officeDocument/2006/relationships/worksheet" Target="worksheets/sheet431.xml"/><Relationship Id="rId452" Type="http://schemas.openxmlformats.org/officeDocument/2006/relationships/worksheet" Target="worksheets/sheet452.xml"/><Relationship Id="rId473" Type="http://schemas.openxmlformats.org/officeDocument/2006/relationships/worksheet" Target="worksheets/sheet473.xml"/><Relationship Id="rId494" Type="http://schemas.openxmlformats.org/officeDocument/2006/relationships/worksheet" Target="worksheets/sheet494.xml"/><Relationship Id="rId508" Type="http://schemas.openxmlformats.org/officeDocument/2006/relationships/worksheet" Target="worksheets/sheet508.xml"/><Relationship Id="rId529" Type="http://schemas.openxmlformats.org/officeDocument/2006/relationships/worksheet" Target="worksheets/sheet529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worksheet" Target="worksheets/sheet312.xml"/><Relationship Id="rId333" Type="http://schemas.openxmlformats.org/officeDocument/2006/relationships/worksheet" Target="worksheets/sheet333.xml"/><Relationship Id="rId354" Type="http://schemas.openxmlformats.org/officeDocument/2006/relationships/worksheet" Target="worksheets/sheet354.xml"/><Relationship Id="rId540" Type="http://schemas.openxmlformats.org/officeDocument/2006/relationships/worksheet" Target="worksheets/sheet540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worksheet" Target="worksheets/sheet375.xml"/><Relationship Id="rId396" Type="http://schemas.openxmlformats.org/officeDocument/2006/relationships/worksheet" Target="worksheets/sheet396.xml"/><Relationship Id="rId561" Type="http://schemas.openxmlformats.org/officeDocument/2006/relationships/worksheet" Target="worksheets/sheet561.xml"/><Relationship Id="rId582" Type="http://schemas.openxmlformats.org/officeDocument/2006/relationships/worksheet" Target="worksheets/sheet582.xml"/><Relationship Id="rId617" Type="http://schemas.openxmlformats.org/officeDocument/2006/relationships/worksheet" Target="worksheets/sheet617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400" Type="http://schemas.openxmlformats.org/officeDocument/2006/relationships/worksheet" Target="worksheets/sheet400.xml"/><Relationship Id="rId421" Type="http://schemas.openxmlformats.org/officeDocument/2006/relationships/worksheet" Target="worksheets/sheet421.xml"/><Relationship Id="rId442" Type="http://schemas.openxmlformats.org/officeDocument/2006/relationships/worksheet" Target="worksheets/sheet442.xml"/><Relationship Id="rId463" Type="http://schemas.openxmlformats.org/officeDocument/2006/relationships/worksheet" Target="worksheets/sheet463.xml"/><Relationship Id="rId484" Type="http://schemas.openxmlformats.org/officeDocument/2006/relationships/worksheet" Target="worksheets/sheet484.xml"/><Relationship Id="rId519" Type="http://schemas.openxmlformats.org/officeDocument/2006/relationships/worksheet" Target="worksheets/sheet519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323" Type="http://schemas.openxmlformats.org/officeDocument/2006/relationships/worksheet" Target="worksheets/sheet323.xml"/><Relationship Id="rId344" Type="http://schemas.openxmlformats.org/officeDocument/2006/relationships/worksheet" Target="worksheets/sheet344.xml"/><Relationship Id="rId530" Type="http://schemas.openxmlformats.org/officeDocument/2006/relationships/worksheet" Target="worksheets/sheet530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worksheet" Target="worksheets/sheet365.xml"/><Relationship Id="rId386" Type="http://schemas.openxmlformats.org/officeDocument/2006/relationships/worksheet" Target="worksheets/sheet386.xml"/><Relationship Id="rId551" Type="http://schemas.openxmlformats.org/officeDocument/2006/relationships/worksheet" Target="worksheets/sheet551.xml"/><Relationship Id="rId572" Type="http://schemas.openxmlformats.org/officeDocument/2006/relationships/worksheet" Target="worksheets/sheet572.xml"/><Relationship Id="rId593" Type="http://schemas.openxmlformats.org/officeDocument/2006/relationships/worksheet" Target="worksheets/sheet593.xml"/><Relationship Id="rId607" Type="http://schemas.openxmlformats.org/officeDocument/2006/relationships/worksheet" Target="worksheets/sheet607.xml"/><Relationship Id="rId628" Type="http://schemas.openxmlformats.org/officeDocument/2006/relationships/worksheet" Target="worksheets/sheet628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411" Type="http://schemas.openxmlformats.org/officeDocument/2006/relationships/worksheet" Target="worksheets/sheet411.xml"/><Relationship Id="rId432" Type="http://schemas.openxmlformats.org/officeDocument/2006/relationships/worksheet" Target="worksheets/sheet432.xml"/><Relationship Id="rId453" Type="http://schemas.openxmlformats.org/officeDocument/2006/relationships/worksheet" Target="worksheets/sheet453.xml"/><Relationship Id="rId474" Type="http://schemas.openxmlformats.org/officeDocument/2006/relationships/worksheet" Target="worksheets/sheet474.xml"/><Relationship Id="rId509" Type="http://schemas.openxmlformats.org/officeDocument/2006/relationships/worksheet" Target="worksheets/sheet509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495" Type="http://schemas.openxmlformats.org/officeDocument/2006/relationships/worksheet" Target="worksheets/sheet49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55" Type="http://schemas.openxmlformats.org/officeDocument/2006/relationships/worksheet" Target="worksheets/sheet355.xml"/><Relationship Id="rId376" Type="http://schemas.openxmlformats.org/officeDocument/2006/relationships/worksheet" Target="worksheets/sheet376.xml"/><Relationship Id="rId397" Type="http://schemas.openxmlformats.org/officeDocument/2006/relationships/worksheet" Target="worksheets/sheet397.xml"/><Relationship Id="rId520" Type="http://schemas.openxmlformats.org/officeDocument/2006/relationships/worksheet" Target="worksheets/sheet520.xml"/><Relationship Id="rId541" Type="http://schemas.openxmlformats.org/officeDocument/2006/relationships/worksheet" Target="worksheets/sheet541.xml"/><Relationship Id="rId562" Type="http://schemas.openxmlformats.org/officeDocument/2006/relationships/worksheet" Target="worksheets/sheet562.xml"/><Relationship Id="rId583" Type="http://schemas.openxmlformats.org/officeDocument/2006/relationships/worksheet" Target="worksheets/sheet583.xml"/><Relationship Id="rId618" Type="http://schemas.openxmlformats.org/officeDocument/2006/relationships/worksheet" Target="worksheets/sheet618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01" Type="http://schemas.openxmlformats.org/officeDocument/2006/relationships/worksheet" Target="worksheets/sheet401.xml"/><Relationship Id="rId422" Type="http://schemas.openxmlformats.org/officeDocument/2006/relationships/worksheet" Target="worksheets/sheet422.xml"/><Relationship Id="rId443" Type="http://schemas.openxmlformats.org/officeDocument/2006/relationships/worksheet" Target="worksheets/sheet443.xml"/><Relationship Id="rId464" Type="http://schemas.openxmlformats.org/officeDocument/2006/relationships/worksheet" Target="worksheets/sheet464.xml"/><Relationship Id="rId303" Type="http://schemas.openxmlformats.org/officeDocument/2006/relationships/worksheet" Target="worksheets/sheet303.xml"/><Relationship Id="rId485" Type="http://schemas.openxmlformats.org/officeDocument/2006/relationships/worksheet" Target="worksheets/sheet485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worksheet" Target="worksheets/sheet387.xml"/><Relationship Id="rId510" Type="http://schemas.openxmlformats.org/officeDocument/2006/relationships/worksheet" Target="worksheets/sheet510.xml"/><Relationship Id="rId552" Type="http://schemas.openxmlformats.org/officeDocument/2006/relationships/worksheet" Target="worksheets/sheet552.xml"/><Relationship Id="rId594" Type="http://schemas.openxmlformats.org/officeDocument/2006/relationships/worksheet" Target="worksheets/sheet594.xml"/><Relationship Id="rId608" Type="http://schemas.openxmlformats.org/officeDocument/2006/relationships/worksheet" Target="worksheets/sheet608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412" Type="http://schemas.openxmlformats.org/officeDocument/2006/relationships/worksheet" Target="worksheets/sheet412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454" Type="http://schemas.openxmlformats.org/officeDocument/2006/relationships/worksheet" Target="worksheets/sheet454.xml"/><Relationship Id="rId496" Type="http://schemas.openxmlformats.org/officeDocument/2006/relationships/worksheet" Target="worksheets/sheet496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398" Type="http://schemas.openxmlformats.org/officeDocument/2006/relationships/worksheet" Target="worksheets/sheet398.xml"/><Relationship Id="rId521" Type="http://schemas.openxmlformats.org/officeDocument/2006/relationships/worksheet" Target="worksheets/sheet521.xml"/><Relationship Id="rId563" Type="http://schemas.openxmlformats.org/officeDocument/2006/relationships/worksheet" Target="worksheets/sheet563.xml"/><Relationship Id="rId619" Type="http://schemas.openxmlformats.org/officeDocument/2006/relationships/worksheet" Target="worksheets/sheet619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423" Type="http://schemas.openxmlformats.org/officeDocument/2006/relationships/worksheet" Target="worksheets/sheet423.xml"/><Relationship Id="rId258" Type="http://schemas.openxmlformats.org/officeDocument/2006/relationships/worksheet" Target="worksheets/sheet258.xml"/><Relationship Id="rId465" Type="http://schemas.openxmlformats.org/officeDocument/2006/relationships/worksheet" Target="worksheets/sheet465.xml"/><Relationship Id="rId630" Type="http://schemas.openxmlformats.org/officeDocument/2006/relationships/worksheet" Target="worksheets/sheet630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367" Type="http://schemas.openxmlformats.org/officeDocument/2006/relationships/worksheet" Target="worksheets/sheet367.xml"/><Relationship Id="rId532" Type="http://schemas.openxmlformats.org/officeDocument/2006/relationships/worksheet" Target="worksheets/sheet532.xml"/><Relationship Id="rId574" Type="http://schemas.openxmlformats.org/officeDocument/2006/relationships/worksheet" Target="worksheets/sheet574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434" Type="http://schemas.openxmlformats.org/officeDocument/2006/relationships/worksheet" Target="worksheets/sheet434.xml"/><Relationship Id="rId476" Type="http://schemas.openxmlformats.org/officeDocument/2006/relationships/worksheet" Target="worksheets/sheet476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worksheet" Target="worksheets/sheet336.xml"/><Relationship Id="rId501" Type="http://schemas.openxmlformats.org/officeDocument/2006/relationships/worksheet" Target="worksheets/sheet501.xml"/><Relationship Id="rId543" Type="http://schemas.openxmlformats.org/officeDocument/2006/relationships/worksheet" Target="worksheets/sheet543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worksheet" Target="worksheets/sheet378.xml"/><Relationship Id="rId403" Type="http://schemas.openxmlformats.org/officeDocument/2006/relationships/worksheet" Target="worksheets/sheet403.xml"/><Relationship Id="rId585" Type="http://schemas.openxmlformats.org/officeDocument/2006/relationships/worksheet" Target="worksheets/sheet585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445" Type="http://schemas.openxmlformats.org/officeDocument/2006/relationships/worksheet" Target="worksheets/sheet445.xml"/><Relationship Id="rId487" Type="http://schemas.openxmlformats.org/officeDocument/2006/relationships/worksheet" Target="worksheets/sheet487.xml"/><Relationship Id="rId610" Type="http://schemas.openxmlformats.org/officeDocument/2006/relationships/worksheet" Target="worksheets/sheet610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worksheet" Target="worksheets/sheet347.xml"/><Relationship Id="rId512" Type="http://schemas.openxmlformats.org/officeDocument/2006/relationships/worksheet" Target="worksheets/sheet512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worksheet" Target="worksheets/sheet389.xml"/><Relationship Id="rId554" Type="http://schemas.openxmlformats.org/officeDocument/2006/relationships/worksheet" Target="worksheets/sheet554.xml"/><Relationship Id="rId596" Type="http://schemas.openxmlformats.org/officeDocument/2006/relationships/worksheet" Target="worksheets/sheet596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414" Type="http://schemas.openxmlformats.org/officeDocument/2006/relationships/worksheet" Target="worksheets/sheet414.xml"/><Relationship Id="rId456" Type="http://schemas.openxmlformats.org/officeDocument/2006/relationships/worksheet" Target="worksheets/sheet456.xml"/><Relationship Id="rId498" Type="http://schemas.openxmlformats.org/officeDocument/2006/relationships/worksheet" Target="worksheets/sheet498.xml"/><Relationship Id="rId621" Type="http://schemas.openxmlformats.org/officeDocument/2006/relationships/worksheet" Target="worksheets/sheet62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23" Type="http://schemas.openxmlformats.org/officeDocument/2006/relationships/worksheet" Target="worksheets/sheet523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worksheet" Target="worksheets/sheet358.xml"/><Relationship Id="rId565" Type="http://schemas.openxmlformats.org/officeDocument/2006/relationships/worksheet" Target="worksheets/sheet565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425" Type="http://schemas.openxmlformats.org/officeDocument/2006/relationships/worksheet" Target="worksheets/sheet425.xml"/><Relationship Id="rId467" Type="http://schemas.openxmlformats.org/officeDocument/2006/relationships/worksheet" Target="worksheets/sheet467.xml"/><Relationship Id="rId632" Type="http://schemas.openxmlformats.org/officeDocument/2006/relationships/theme" Target="theme/theme1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69" Type="http://schemas.openxmlformats.org/officeDocument/2006/relationships/worksheet" Target="worksheets/sheet369.xml"/><Relationship Id="rId534" Type="http://schemas.openxmlformats.org/officeDocument/2006/relationships/worksheet" Target="worksheets/sheet534.xml"/><Relationship Id="rId576" Type="http://schemas.openxmlformats.org/officeDocument/2006/relationships/worksheet" Target="worksheets/sheet576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436" Type="http://schemas.openxmlformats.org/officeDocument/2006/relationships/worksheet" Target="worksheets/sheet436.xml"/><Relationship Id="rId601" Type="http://schemas.openxmlformats.org/officeDocument/2006/relationships/worksheet" Target="worksheets/sheet601.xml"/><Relationship Id="rId240" Type="http://schemas.openxmlformats.org/officeDocument/2006/relationships/worksheet" Target="worksheets/sheet240.xml"/><Relationship Id="rId478" Type="http://schemas.openxmlformats.org/officeDocument/2006/relationships/worksheet" Target="worksheets/sheet478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worksheet" Target="worksheets/sheet338.xml"/><Relationship Id="rId503" Type="http://schemas.openxmlformats.org/officeDocument/2006/relationships/worksheet" Target="worksheets/sheet503.xml"/><Relationship Id="rId545" Type="http://schemas.openxmlformats.org/officeDocument/2006/relationships/worksheet" Target="worksheets/sheet545.xml"/><Relationship Id="rId587" Type="http://schemas.openxmlformats.org/officeDocument/2006/relationships/worksheet" Target="worksheets/sheet587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worksheet" Target="worksheets/sheet391.xml"/><Relationship Id="rId405" Type="http://schemas.openxmlformats.org/officeDocument/2006/relationships/worksheet" Target="worksheets/sheet405.xml"/><Relationship Id="rId447" Type="http://schemas.openxmlformats.org/officeDocument/2006/relationships/worksheet" Target="worksheets/sheet447.xml"/><Relationship Id="rId612" Type="http://schemas.openxmlformats.org/officeDocument/2006/relationships/worksheet" Target="worksheets/sheet612.xml"/><Relationship Id="rId251" Type="http://schemas.openxmlformats.org/officeDocument/2006/relationships/worksheet" Target="worksheets/sheet251.xml"/><Relationship Id="rId489" Type="http://schemas.openxmlformats.org/officeDocument/2006/relationships/worksheet" Target="worksheets/sheet489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worksheet" Target="worksheets/sheet349.xml"/><Relationship Id="rId514" Type="http://schemas.openxmlformats.org/officeDocument/2006/relationships/worksheet" Target="worksheets/sheet514.xml"/><Relationship Id="rId556" Type="http://schemas.openxmlformats.org/officeDocument/2006/relationships/worksheet" Target="worksheets/sheet556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416" Type="http://schemas.openxmlformats.org/officeDocument/2006/relationships/worksheet" Target="worksheets/sheet416.xml"/><Relationship Id="rId598" Type="http://schemas.openxmlformats.org/officeDocument/2006/relationships/worksheet" Target="worksheets/sheet598.xml"/><Relationship Id="rId220" Type="http://schemas.openxmlformats.org/officeDocument/2006/relationships/worksheet" Target="worksheets/sheet220.xml"/><Relationship Id="rId458" Type="http://schemas.openxmlformats.org/officeDocument/2006/relationships/worksheet" Target="worksheets/sheet458.xml"/><Relationship Id="rId623" Type="http://schemas.openxmlformats.org/officeDocument/2006/relationships/worksheet" Target="worksheets/sheet623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525" Type="http://schemas.openxmlformats.org/officeDocument/2006/relationships/worksheet" Target="worksheets/sheet525.xml"/><Relationship Id="rId567" Type="http://schemas.openxmlformats.org/officeDocument/2006/relationships/worksheet" Target="worksheets/sheet567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worksheet" Target="worksheets/sheet371.xml"/><Relationship Id="rId427" Type="http://schemas.openxmlformats.org/officeDocument/2006/relationships/worksheet" Target="worksheets/sheet427.xml"/><Relationship Id="rId469" Type="http://schemas.openxmlformats.org/officeDocument/2006/relationships/worksheet" Target="worksheets/sheet469.xml"/><Relationship Id="rId634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worksheet" Target="worksheets/sheet329.xml"/><Relationship Id="rId480" Type="http://schemas.openxmlformats.org/officeDocument/2006/relationships/worksheet" Target="worksheets/sheet480.xml"/><Relationship Id="rId536" Type="http://schemas.openxmlformats.org/officeDocument/2006/relationships/worksheet" Target="worksheets/sheet536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578" Type="http://schemas.openxmlformats.org/officeDocument/2006/relationships/worksheet" Target="worksheets/sheet578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438" Type="http://schemas.openxmlformats.org/officeDocument/2006/relationships/worksheet" Target="worksheets/sheet438.xml"/><Relationship Id="rId603" Type="http://schemas.openxmlformats.org/officeDocument/2006/relationships/worksheet" Target="worksheets/sheet603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491" Type="http://schemas.openxmlformats.org/officeDocument/2006/relationships/worksheet" Target="worksheets/sheet491.xml"/><Relationship Id="rId505" Type="http://schemas.openxmlformats.org/officeDocument/2006/relationships/worksheet" Target="worksheets/sheet505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Relationship Id="rId547" Type="http://schemas.openxmlformats.org/officeDocument/2006/relationships/worksheet" Target="worksheets/sheet547.xml"/><Relationship Id="rId589" Type="http://schemas.openxmlformats.org/officeDocument/2006/relationships/worksheet" Target="worksheets/sheet589.xml"/><Relationship Id="rId90" Type="http://schemas.openxmlformats.org/officeDocument/2006/relationships/worksheet" Target="worksheets/sheet90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93" Type="http://schemas.openxmlformats.org/officeDocument/2006/relationships/worksheet" Target="worksheets/sheet393.xml"/><Relationship Id="rId407" Type="http://schemas.openxmlformats.org/officeDocument/2006/relationships/worksheet" Target="worksheets/sheet407.xml"/><Relationship Id="rId449" Type="http://schemas.openxmlformats.org/officeDocument/2006/relationships/worksheet" Target="worksheets/sheet449.xml"/><Relationship Id="rId614" Type="http://schemas.openxmlformats.org/officeDocument/2006/relationships/worksheet" Target="worksheets/sheet614.xml"/><Relationship Id="rId211" Type="http://schemas.openxmlformats.org/officeDocument/2006/relationships/worksheet" Target="worksheets/sheet211.xml"/><Relationship Id="rId253" Type="http://schemas.openxmlformats.org/officeDocument/2006/relationships/worksheet" Target="worksheets/sheet253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460" Type="http://schemas.openxmlformats.org/officeDocument/2006/relationships/worksheet" Target="worksheets/sheet460.xml"/><Relationship Id="rId516" Type="http://schemas.openxmlformats.org/officeDocument/2006/relationships/worksheet" Target="worksheets/sheet516.xml"/><Relationship Id="rId48" Type="http://schemas.openxmlformats.org/officeDocument/2006/relationships/worksheet" Target="worksheets/sheet48.xml"/><Relationship Id="rId113" Type="http://schemas.openxmlformats.org/officeDocument/2006/relationships/worksheet" Target="worksheets/sheet113.xml"/><Relationship Id="rId320" Type="http://schemas.openxmlformats.org/officeDocument/2006/relationships/worksheet" Target="worksheets/sheet320.xml"/><Relationship Id="rId558" Type="http://schemas.openxmlformats.org/officeDocument/2006/relationships/worksheet" Target="worksheets/sheet558.xml"/><Relationship Id="rId155" Type="http://schemas.openxmlformats.org/officeDocument/2006/relationships/worksheet" Target="worksheets/sheet155.xml"/><Relationship Id="rId197" Type="http://schemas.openxmlformats.org/officeDocument/2006/relationships/worksheet" Target="worksheets/sheet197.xml"/><Relationship Id="rId362" Type="http://schemas.openxmlformats.org/officeDocument/2006/relationships/worksheet" Target="worksheets/sheet362.xml"/><Relationship Id="rId418" Type="http://schemas.openxmlformats.org/officeDocument/2006/relationships/worksheet" Target="worksheets/sheet418.xml"/><Relationship Id="rId625" Type="http://schemas.openxmlformats.org/officeDocument/2006/relationships/worksheet" Target="worksheets/sheet625.xml"/><Relationship Id="rId222" Type="http://schemas.openxmlformats.org/officeDocument/2006/relationships/worksheet" Target="worksheets/sheet222.xml"/><Relationship Id="rId264" Type="http://schemas.openxmlformats.org/officeDocument/2006/relationships/worksheet" Target="worksheets/sheet264.xml"/><Relationship Id="rId471" Type="http://schemas.openxmlformats.org/officeDocument/2006/relationships/worksheet" Target="worksheets/sheet4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7.bin"/></Relationships>
</file>

<file path=xl/worksheets/_rels/sheet2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8.bin"/></Relationships>
</file>

<file path=xl/worksheets/_rels/sheet2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0.bin"/></Relationships>
</file>

<file path=xl/worksheets/_rels/sheet2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1.bin"/></Relationships>
</file>

<file path=xl/worksheets/_rels/sheet2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2.bin"/></Relationships>
</file>

<file path=xl/worksheets/_rels/sheet2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3.bin"/></Relationships>
</file>

<file path=xl/worksheets/_rels/sheet2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4.bin"/></Relationships>
</file>

<file path=xl/worksheets/_rels/sheet2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5.bin"/></Relationships>
</file>

<file path=xl/worksheets/_rels/sheet2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6.bin"/></Relationships>
</file>

<file path=xl/worksheets/_rels/sheet2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7.bin"/></Relationships>
</file>

<file path=xl/worksheets/_rels/sheet2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8.bin"/></Relationships>
</file>

<file path=xl/worksheets/_rels/sheet2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0.bin"/></Relationships>
</file>

<file path=xl/worksheets/_rels/sheet2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1.bin"/></Relationships>
</file>

<file path=xl/worksheets/_rels/sheet2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2.bin"/></Relationships>
</file>

<file path=xl/worksheets/_rels/sheet2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3.bin"/></Relationships>
</file>

<file path=xl/worksheets/_rels/sheet2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4.bin"/></Relationships>
</file>

<file path=xl/worksheets/_rels/sheet2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5.bin"/></Relationships>
</file>

<file path=xl/worksheets/_rels/sheet2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6.bin"/></Relationships>
</file>

<file path=xl/worksheets/_rels/sheet2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7.bin"/></Relationships>
</file>

<file path=xl/worksheets/_rels/sheet2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8.bin"/></Relationships>
</file>

<file path=xl/worksheets/_rels/sheet2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2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0.bin"/></Relationships>
</file>

<file path=xl/worksheets/_rels/sheet2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1.bin"/></Relationships>
</file>

<file path=xl/worksheets/_rels/sheet2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2.bin"/></Relationships>
</file>

<file path=xl/worksheets/_rels/sheet2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3.bin"/></Relationships>
</file>

<file path=xl/worksheets/_rels/sheet2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4.bin"/></Relationships>
</file>

<file path=xl/worksheets/_rels/sheet2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5.bin"/></Relationships>
</file>

<file path=xl/worksheets/_rels/sheet2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6.bin"/></Relationships>
</file>

<file path=xl/worksheets/_rels/sheet2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7.bin"/></Relationships>
</file>

<file path=xl/worksheets/_rels/sheet2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8.bin"/></Relationships>
</file>

<file path=xl/worksheets/_rels/sheet2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0.bin"/></Relationships>
</file>

<file path=xl/worksheets/_rels/sheet3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1.bin"/></Relationships>
</file>

<file path=xl/worksheets/_rels/sheet3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2.bin"/></Relationships>
</file>

<file path=xl/worksheets/_rels/sheet3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3.bin"/></Relationships>
</file>

<file path=xl/worksheets/_rels/sheet3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4.bin"/></Relationships>
</file>

<file path=xl/worksheets/_rels/sheet3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5.bin"/></Relationships>
</file>

<file path=xl/worksheets/_rels/sheet3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6.bin"/></Relationships>
</file>

<file path=xl/worksheets/_rels/sheet3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7.bin"/></Relationships>
</file>

<file path=xl/worksheets/_rels/sheet3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8.bin"/></Relationships>
</file>

<file path=xl/worksheets/_rels/sheet3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0.bin"/></Relationships>
</file>

<file path=xl/worksheets/_rels/sheet3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1.bin"/></Relationships>
</file>

<file path=xl/worksheets/_rels/sheet3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2.bin"/></Relationships>
</file>

<file path=xl/worksheets/_rels/sheet3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3.bin"/></Relationships>
</file>

<file path=xl/worksheets/_rels/sheet3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4.bin"/></Relationships>
</file>

<file path=xl/worksheets/_rels/sheet3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5.bin"/></Relationships>
</file>

<file path=xl/worksheets/_rels/sheet3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6.bin"/></Relationships>
</file>

<file path=xl/worksheets/_rels/sheet3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7.bin"/></Relationships>
</file>

<file path=xl/worksheets/_rels/sheet3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8.bin"/></Relationships>
</file>

<file path=xl/worksheets/_rels/sheet3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0.bin"/></Relationships>
</file>

<file path=xl/worksheets/_rels/sheet3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1.bin"/></Relationships>
</file>

<file path=xl/worksheets/_rels/sheet3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2.bin"/></Relationships>
</file>

<file path=xl/worksheets/_rels/sheet3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3.bin"/></Relationships>
</file>

<file path=xl/worksheets/_rels/sheet3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4.bin"/></Relationships>
</file>

<file path=xl/worksheets/_rels/sheet3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5.bin"/></Relationships>
</file>

<file path=xl/worksheets/_rels/sheet3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6.bin"/></Relationships>
</file>

<file path=xl/worksheets/_rels/sheet3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7.bin"/></Relationships>
</file>

<file path=xl/worksheets/_rels/sheet3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8.bin"/></Relationships>
</file>

<file path=xl/worksheets/_rels/sheet3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0.bin"/></Relationships>
</file>

<file path=xl/worksheets/_rels/sheet3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1.bin"/></Relationships>
</file>

<file path=xl/worksheets/_rels/sheet3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2.bin"/></Relationships>
</file>

<file path=xl/worksheets/_rels/sheet3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3.bin"/></Relationships>
</file>

<file path=xl/worksheets/_rels/sheet3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4.bin"/></Relationships>
</file>

<file path=xl/worksheets/_rels/sheet3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5.bin"/></Relationships>
</file>

<file path=xl/worksheets/_rels/sheet3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6.bin"/></Relationships>
</file>

<file path=xl/worksheets/_rels/sheet3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7.bin"/></Relationships>
</file>

<file path=xl/worksheets/_rels/sheet3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8.bin"/></Relationships>
</file>

<file path=xl/worksheets/_rels/sheet3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0.bin"/></Relationships>
</file>

<file path=xl/worksheets/_rels/sheet3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1.bin"/></Relationships>
</file>

<file path=xl/worksheets/_rels/sheet3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2.bin"/></Relationships>
</file>

<file path=xl/worksheets/_rels/sheet3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3.bin"/></Relationships>
</file>

<file path=xl/worksheets/_rels/sheet3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4.bin"/></Relationships>
</file>

<file path=xl/worksheets/_rels/sheet3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5.bin"/></Relationships>
</file>

<file path=xl/worksheets/_rels/sheet3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6.bin"/></Relationships>
</file>

<file path=xl/worksheets/_rels/sheet3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7.bin"/></Relationships>
</file>

<file path=xl/worksheets/_rels/sheet3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8.bin"/></Relationships>
</file>

<file path=xl/worksheets/_rels/sheet3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0.bin"/></Relationships>
</file>

<file path=xl/worksheets/_rels/sheet3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1.bin"/></Relationships>
</file>

<file path=xl/worksheets/_rels/sheet3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2.bin"/></Relationships>
</file>

<file path=xl/worksheets/_rels/sheet3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3.bin"/></Relationships>
</file>

<file path=xl/worksheets/_rels/sheet3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4.bin"/></Relationships>
</file>

<file path=xl/worksheets/_rels/sheet3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5.bin"/></Relationships>
</file>

<file path=xl/worksheets/_rels/sheet3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6.bin"/></Relationships>
</file>

<file path=xl/worksheets/_rels/sheet3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7.bin"/></Relationships>
</file>

<file path=xl/worksheets/_rels/sheet3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8.bin"/></Relationships>
</file>

<file path=xl/worksheets/_rels/sheet3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0.bin"/></Relationships>
</file>

<file path=xl/worksheets/_rels/sheet3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1.bin"/></Relationships>
</file>

<file path=xl/worksheets/_rels/sheet3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2.bin"/></Relationships>
</file>

<file path=xl/worksheets/_rels/sheet3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3.bin"/></Relationships>
</file>

<file path=xl/worksheets/_rels/sheet3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4.bin"/></Relationships>
</file>

<file path=xl/worksheets/_rels/sheet3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5.bin"/></Relationships>
</file>

<file path=xl/worksheets/_rels/sheet3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6.bin"/></Relationships>
</file>

<file path=xl/worksheets/_rels/sheet3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7.bin"/></Relationships>
</file>

<file path=xl/worksheets/_rels/sheet3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8.bin"/></Relationships>
</file>

<file path=xl/worksheets/_rels/sheet3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0.bin"/></Relationships>
</file>

<file path=xl/worksheets/_rels/sheet3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1.bin"/></Relationships>
</file>

<file path=xl/worksheets/_rels/sheet3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2.bin"/></Relationships>
</file>

<file path=xl/worksheets/_rels/sheet3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3.bin"/></Relationships>
</file>

<file path=xl/worksheets/_rels/sheet3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4.bin"/></Relationships>
</file>

<file path=xl/worksheets/_rels/sheet3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5.bin"/></Relationships>
</file>

<file path=xl/worksheets/_rels/sheet3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6.bin"/></Relationships>
</file>

<file path=xl/worksheets/_rels/sheet3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7.bin"/></Relationships>
</file>

<file path=xl/worksheets/_rels/sheet3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8.bin"/></Relationships>
</file>

<file path=xl/worksheets/_rels/sheet3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0.bin"/></Relationships>
</file>

<file path=xl/worksheets/_rels/sheet3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1.bin"/></Relationships>
</file>

<file path=xl/worksheets/_rels/sheet3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2.bin"/></Relationships>
</file>

<file path=xl/worksheets/_rels/sheet3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3.bin"/></Relationships>
</file>

<file path=xl/worksheets/_rels/sheet3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4.bin"/></Relationships>
</file>

<file path=xl/worksheets/_rels/sheet3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5.bin"/></Relationships>
</file>

<file path=xl/worksheets/_rels/sheet3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6.bin"/></Relationships>
</file>

<file path=xl/worksheets/_rels/sheet3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7.bin"/></Relationships>
</file>

<file path=xl/worksheets/_rels/sheet3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8.bin"/></Relationships>
</file>

<file path=xl/worksheets/_rels/sheet3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9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3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0.bin"/></Relationships>
</file>

<file path=xl/worksheets/_rels/sheet3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1.bin"/></Relationships>
</file>

<file path=xl/worksheets/_rels/sheet3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2.bin"/></Relationships>
</file>

<file path=xl/worksheets/_rels/sheet3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3.bin"/></Relationships>
</file>

<file path=xl/worksheets/_rels/sheet3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4.bin"/></Relationships>
</file>

<file path=xl/worksheets/_rels/sheet3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5.bin"/></Relationships>
</file>

<file path=xl/worksheets/_rels/sheet3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6.bin"/></Relationships>
</file>

<file path=xl/worksheets/_rels/sheet3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7.bin"/></Relationships>
</file>

<file path=xl/worksheets/_rels/sheet3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8.bin"/></Relationships>
</file>

<file path=xl/worksheets/_rels/sheet3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0.bin"/></Relationships>
</file>

<file path=xl/worksheets/_rels/sheet4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1.bin"/></Relationships>
</file>

<file path=xl/worksheets/_rels/sheet4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2.bin"/></Relationships>
</file>

<file path=xl/worksheets/_rels/sheet4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3.bin"/></Relationships>
</file>

<file path=xl/worksheets/_rels/sheet4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4.bin"/></Relationships>
</file>

<file path=xl/worksheets/_rels/sheet4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5.bin"/></Relationships>
</file>

<file path=xl/worksheets/_rels/sheet4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6.bin"/></Relationships>
</file>

<file path=xl/worksheets/_rels/sheet4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7.bin"/></Relationships>
</file>

<file path=xl/worksheets/_rels/sheet4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8.bin"/></Relationships>
</file>

<file path=xl/worksheets/_rels/sheet4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0.bin"/></Relationships>
</file>

<file path=xl/worksheets/_rels/sheet4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1.bin"/></Relationships>
</file>

<file path=xl/worksheets/_rels/sheet4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2.bin"/></Relationships>
</file>

<file path=xl/worksheets/_rels/sheet4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3.bin"/></Relationships>
</file>

<file path=xl/worksheets/_rels/sheet4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4.bin"/></Relationships>
</file>

<file path=xl/worksheets/_rels/sheet4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5.bin"/></Relationships>
</file>

<file path=xl/worksheets/_rels/sheet4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6.bin"/></Relationships>
</file>

<file path=xl/worksheets/_rels/sheet4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7.bin"/></Relationships>
</file>

<file path=xl/worksheets/_rels/sheet4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8.bin"/></Relationships>
</file>

<file path=xl/worksheets/_rels/sheet4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0.bin"/></Relationships>
</file>

<file path=xl/worksheets/_rels/sheet4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1.bin"/></Relationships>
</file>

<file path=xl/worksheets/_rels/sheet4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2.bin"/></Relationships>
</file>

<file path=xl/worksheets/_rels/sheet4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3.bin"/></Relationships>
</file>

<file path=xl/worksheets/_rels/sheet4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4.bin"/></Relationships>
</file>

<file path=xl/worksheets/_rels/sheet4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5.bin"/></Relationships>
</file>

<file path=xl/worksheets/_rels/sheet4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6.bin"/></Relationships>
</file>

<file path=xl/worksheets/_rels/sheet4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7.bin"/></Relationships>
</file>

<file path=xl/worksheets/_rels/sheet4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8.bin"/></Relationships>
</file>

<file path=xl/worksheets/_rels/sheet4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0.bin"/></Relationships>
</file>

<file path=xl/worksheets/_rels/sheet4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1.bin"/></Relationships>
</file>

<file path=xl/worksheets/_rels/sheet4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2.bin"/></Relationships>
</file>

<file path=xl/worksheets/_rels/sheet4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3.bin"/></Relationships>
</file>

<file path=xl/worksheets/_rels/sheet4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4.bin"/></Relationships>
</file>

<file path=xl/worksheets/_rels/sheet4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5.bin"/></Relationships>
</file>

<file path=xl/worksheets/_rels/sheet4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6.bin"/></Relationships>
</file>

<file path=xl/worksheets/_rels/sheet4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7.bin"/></Relationships>
</file>

<file path=xl/worksheets/_rels/sheet4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8.bin"/></Relationships>
</file>

<file path=xl/worksheets/_rels/sheet4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0.bin"/></Relationships>
</file>

<file path=xl/worksheets/_rels/sheet4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1.bin"/></Relationships>
</file>

<file path=xl/worksheets/_rels/sheet4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2.bin"/></Relationships>
</file>

<file path=xl/worksheets/_rels/sheet4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3.bin"/></Relationships>
</file>

<file path=xl/worksheets/_rels/sheet4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4.bin"/></Relationships>
</file>

<file path=xl/worksheets/_rels/sheet4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5.bin"/></Relationships>
</file>

<file path=xl/worksheets/_rels/sheet4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6.bin"/></Relationships>
</file>

<file path=xl/worksheets/_rels/sheet4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7.bin"/></Relationships>
</file>

<file path=xl/worksheets/_rels/sheet4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8.bin"/></Relationships>
</file>

<file path=xl/worksheets/_rels/sheet4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9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0.bin"/></Relationships>
</file>

<file path=xl/worksheets/_rels/sheet4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1.bin"/></Relationships>
</file>

<file path=xl/worksheets/_rels/sheet4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2.bin"/></Relationships>
</file>

<file path=xl/worksheets/_rels/sheet4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3.bin"/></Relationships>
</file>

<file path=xl/worksheets/_rels/sheet4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4.bin"/></Relationships>
</file>

<file path=xl/worksheets/_rels/sheet4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5.bin"/></Relationships>
</file>

<file path=xl/worksheets/_rels/sheet4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6.bin"/></Relationships>
</file>

<file path=xl/worksheets/_rels/sheet4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7.bin"/></Relationships>
</file>

<file path=xl/worksheets/_rels/sheet4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8.bin"/></Relationships>
</file>

<file path=xl/worksheets/_rels/sheet4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9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0.bin"/></Relationships>
</file>

<file path=xl/worksheets/_rels/sheet4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1.bin"/></Relationships>
</file>

<file path=xl/worksheets/_rels/sheet4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2.bin"/></Relationships>
</file>

<file path=xl/worksheets/_rels/sheet4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3.bin"/></Relationships>
</file>

<file path=xl/worksheets/_rels/sheet4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4.bin"/></Relationships>
</file>

<file path=xl/worksheets/_rels/sheet4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5.bin"/></Relationships>
</file>

<file path=xl/worksheets/_rels/sheet4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6.bin"/></Relationships>
</file>

<file path=xl/worksheets/_rels/sheet4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7.bin"/></Relationships>
</file>

<file path=xl/worksheets/_rels/sheet4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8.bin"/></Relationships>
</file>

<file path=xl/worksheets/_rels/sheet4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0.bin"/></Relationships>
</file>

<file path=xl/worksheets/_rels/sheet4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1.bin"/></Relationships>
</file>

<file path=xl/worksheets/_rels/sheet4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2.bin"/></Relationships>
</file>

<file path=xl/worksheets/_rels/sheet4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3.bin"/></Relationships>
</file>

<file path=xl/worksheets/_rels/sheet4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4.bin"/></Relationships>
</file>

<file path=xl/worksheets/_rels/sheet4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5.bin"/></Relationships>
</file>

<file path=xl/worksheets/_rels/sheet4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6.bin"/></Relationships>
</file>

<file path=xl/worksheets/_rels/sheet4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7.bin"/></Relationships>
</file>

<file path=xl/worksheets/_rels/sheet4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8.bin"/></Relationships>
</file>

<file path=xl/worksheets/_rels/sheet4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0.bin"/></Relationships>
</file>

<file path=xl/worksheets/_rels/sheet4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1.bin"/></Relationships>
</file>

<file path=xl/worksheets/_rels/sheet4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2.bin"/></Relationships>
</file>

<file path=xl/worksheets/_rels/sheet4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3.bin"/></Relationships>
</file>

<file path=xl/worksheets/_rels/sheet4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4.bin"/></Relationships>
</file>

<file path=xl/worksheets/_rels/sheet4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5.bin"/></Relationships>
</file>

<file path=xl/worksheets/_rels/sheet4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6.bin"/></Relationships>
</file>

<file path=xl/worksheets/_rels/sheet4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7.bin"/></Relationships>
</file>

<file path=xl/worksheets/_rels/sheet4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8.bin"/></Relationships>
</file>

<file path=xl/worksheets/_rels/sheet4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4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0.bin"/></Relationships>
</file>

<file path=xl/worksheets/_rels/sheet4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1.bin"/></Relationships>
</file>

<file path=xl/worksheets/_rels/sheet4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2.bin"/></Relationships>
</file>

<file path=xl/worksheets/_rels/sheet4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3.bin"/></Relationships>
</file>

<file path=xl/worksheets/_rels/sheet4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4.bin"/></Relationships>
</file>

<file path=xl/worksheets/_rels/sheet4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5.bin"/></Relationships>
</file>

<file path=xl/worksheets/_rels/sheet4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6.bin"/></Relationships>
</file>

<file path=xl/worksheets/_rels/sheet4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7.bin"/></Relationships>
</file>

<file path=xl/worksheets/_rels/sheet4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8.bin"/></Relationships>
</file>

<file path=xl/worksheets/_rels/sheet4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0.bin"/></Relationships>
</file>

<file path=xl/worksheets/_rels/sheet5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1.bin"/></Relationships>
</file>

<file path=xl/worksheets/_rels/sheet5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2.bin"/></Relationships>
</file>

<file path=xl/worksheets/_rels/sheet5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3.bin"/></Relationships>
</file>

<file path=xl/worksheets/_rels/sheet5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4.bin"/></Relationships>
</file>

<file path=xl/worksheets/_rels/sheet5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5.bin"/></Relationships>
</file>

<file path=xl/worksheets/_rels/sheet5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6.bin"/></Relationships>
</file>

<file path=xl/worksheets/_rels/sheet5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7.bin"/></Relationships>
</file>

<file path=xl/worksheets/_rels/sheet5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8.bin"/></Relationships>
</file>

<file path=xl/worksheets/_rels/sheet50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9.bin"/><Relationship Id="rId1" Type="http://schemas.openxmlformats.org/officeDocument/2006/relationships/hyperlink" Target="mailto:naughtynyonya@gmai.com" TargetMode="Externa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0.bin"/></Relationships>
</file>

<file path=xl/worksheets/_rels/sheet5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1.bin"/></Relationships>
</file>

<file path=xl/worksheets/_rels/sheet5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2.bin"/></Relationships>
</file>

<file path=xl/worksheets/_rels/sheet5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3.bin"/></Relationships>
</file>

<file path=xl/worksheets/_rels/sheet5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4.bin"/></Relationships>
</file>

<file path=xl/worksheets/_rels/sheet5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5.bin"/></Relationships>
</file>

<file path=xl/worksheets/_rels/sheet5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6.bin"/></Relationships>
</file>

<file path=xl/worksheets/_rels/sheet5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7.bin"/></Relationships>
</file>

<file path=xl/worksheets/_rels/sheet5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8.bin"/></Relationships>
</file>

<file path=xl/worksheets/_rels/sheet5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0.bin"/></Relationships>
</file>

<file path=xl/worksheets/_rels/sheet5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1.bin"/></Relationships>
</file>

<file path=xl/worksheets/_rels/sheet5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2.bin"/></Relationships>
</file>

<file path=xl/worksheets/_rels/sheet5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3.bin"/></Relationships>
</file>

<file path=xl/worksheets/_rels/sheet5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4.bin"/></Relationships>
</file>

<file path=xl/worksheets/_rels/sheet5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5.bin"/></Relationships>
</file>

<file path=xl/worksheets/_rels/sheet5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6.bin"/></Relationships>
</file>

<file path=xl/worksheets/_rels/sheet5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7.bin"/></Relationships>
</file>

<file path=xl/worksheets/_rels/sheet5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8.bin"/></Relationships>
</file>

<file path=xl/worksheets/_rels/sheet5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0.bin"/></Relationships>
</file>

<file path=xl/worksheets/_rels/sheet5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1.bin"/></Relationships>
</file>

<file path=xl/worksheets/_rels/sheet5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2.bin"/></Relationships>
</file>

<file path=xl/worksheets/_rels/sheet5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3.bin"/></Relationships>
</file>

<file path=xl/worksheets/_rels/sheet5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4.bin"/></Relationships>
</file>

<file path=xl/worksheets/_rels/sheet5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5.bin"/></Relationships>
</file>

<file path=xl/worksheets/_rels/sheet5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6.bin"/></Relationships>
</file>

<file path=xl/worksheets/_rels/sheet5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7.bin"/></Relationships>
</file>

<file path=xl/worksheets/_rels/sheet5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8.bin"/></Relationships>
</file>

<file path=xl/worksheets/_rels/sheet5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0.bin"/></Relationships>
</file>

<file path=xl/worksheets/_rels/sheet5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1.bin"/></Relationships>
</file>

<file path=xl/worksheets/_rels/sheet5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2.bin"/></Relationships>
</file>

<file path=xl/worksheets/_rels/sheet5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3.bin"/></Relationships>
</file>

<file path=xl/worksheets/_rels/sheet5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4.bin"/></Relationships>
</file>

<file path=xl/worksheets/_rels/sheet5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5.bin"/></Relationships>
</file>

<file path=xl/worksheets/_rels/sheet5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6.bin"/></Relationships>
</file>

<file path=xl/worksheets/_rels/sheet5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7.bin"/></Relationships>
</file>

<file path=xl/worksheets/_rels/sheet5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8.bin"/></Relationships>
</file>

<file path=xl/worksheets/_rels/sheet5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9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0.bin"/></Relationships>
</file>

<file path=xl/worksheets/_rels/sheet5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1.bin"/></Relationships>
</file>

<file path=xl/worksheets/_rels/sheet5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2.bin"/></Relationships>
</file>

<file path=xl/worksheets/_rels/sheet5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3.bin"/></Relationships>
</file>

<file path=xl/worksheets/_rels/sheet5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4.bin"/></Relationships>
</file>

<file path=xl/worksheets/_rels/sheet5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5.bin"/></Relationships>
</file>

<file path=xl/worksheets/_rels/sheet5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6.bin"/></Relationships>
</file>

<file path=xl/worksheets/_rels/sheet5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7.bin"/></Relationships>
</file>

<file path=xl/worksheets/_rels/sheet5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8.bin"/></Relationships>
</file>

<file path=xl/worksheets/_rels/sheet5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9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0.bin"/></Relationships>
</file>

<file path=xl/worksheets/_rels/sheet5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1.bin"/></Relationships>
</file>

<file path=xl/worksheets/_rels/sheet5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2.bin"/></Relationships>
</file>

<file path=xl/worksheets/_rels/sheet5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3.bin"/></Relationships>
</file>

<file path=xl/worksheets/_rels/sheet5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4.bin"/></Relationships>
</file>

<file path=xl/worksheets/_rels/sheet5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5.bin"/></Relationships>
</file>

<file path=xl/worksheets/_rels/sheet5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6.bin"/></Relationships>
</file>

<file path=xl/worksheets/_rels/sheet5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7.bin"/></Relationships>
</file>

<file path=xl/worksheets/_rels/sheet5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8.bin"/></Relationships>
</file>

<file path=xl/worksheets/_rels/sheet5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0.bin"/></Relationships>
</file>

<file path=xl/worksheets/_rels/sheet5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1.bin"/></Relationships>
</file>

<file path=xl/worksheets/_rels/sheet5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2.bin"/></Relationships>
</file>

<file path=xl/worksheets/_rels/sheet5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3.bin"/></Relationships>
</file>

<file path=xl/worksheets/_rels/sheet5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4.bin"/></Relationships>
</file>

<file path=xl/worksheets/_rels/sheet5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5.bin"/></Relationships>
</file>

<file path=xl/worksheets/_rels/sheet5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6.bin"/></Relationships>
</file>

<file path=xl/worksheets/_rels/sheet5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7.bin"/></Relationships>
</file>

<file path=xl/worksheets/_rels/sheet5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8.bin"/></Relationships>
</file>

<file path=xl/worksheets/_rels/sheet5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0.bin"/></Relationships>
</file>

<file path=xl/worksheets/_rels/sheet5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1.bin"/></Relationships>
</file>

<file path=xl/worksheets/_rels/sheet5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2.bin"/></Relationships>
</file>

<file path=xl/worksheets/_rels/sheet5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3.bin"/></Relationships>
</file>

<file path=xl/worksheets/_rels/sheet5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4.bin"/></Relationships>
</file>

<file path=xl/worksheets/_rels/sheet5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5.bin"/></Relationships>
</file>

<file path=xl/worksheets/_rels/sheet5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6.bin"/></Relationships>
</file>

<file path=xl/worksheets/_rels/sheet5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7.bin"/></Relationships>
</file>

<file path=xl/worksheets/_rels/sheet5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8.bin"/></Relationships>
</file>

<file path=xl/worksheets/_rels/sheet5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5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0.bin"/></Relationships>
</file>

<file path=xl/worksheets/_rels/sheet5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1.bin"/></Relationships>
</file>

<file path=xl/worksheets/_rels/sheet5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2.bin"/></Relationships>
</file>

<file path=xl/worksheets/_rels/sheet5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3.bin"/></Relationships>
</file>

<file path=xl/worksheets/_rels/sheet5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4.bin"/></Relationships>
</file>

<file path=xl/worksheets/_rels/sheet5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5.bin"/></Relationships>
</file>

<file path=xl/worksheets/_rels/sheet5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6.bin"/></Relationships>
</file>

<file path=xl/worksheets/_rels/sheet5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7.bin"/></Relationships>
</file>

<file path=xl/worksheets/_rels/sheet5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8.bin"/></Relationships>
</file>

<file path=xl/worksheets/_rels/sheet5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0.bin"/></Relationships>
</file>

<file path=xl/worksheets/_rels/sheet6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1.bin"/></Relationships>
</file>

<file path=xl/worksheets/_rels/sheet6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2.bin"/></Relationships>
</file>

<file path=xl/worksheets/_rels/sheet6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3.bin"/></Relationships>
</file>

<file path=xl/worksheets/_rels/sheet6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4.bin"/></Relationships>
</file>

<file path=xl/worksheets/_rels/sheet6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5.bin"/></Relationships>
</file>

<file path=xl/worksheets/_rels/sheet6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6.bin"/></Relationships>
</file>

<file path=xl/worksheets/_rels/sheet6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7.bin"/></Relationships>
</file>

<file path=xl/worksheets/_rels/sheet6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8.bin"/></Relationships>
</file>

<file path=xl/worksheets/_rels/sheet6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0.bin"/></Relationships>
</file>

<file path=xl/worksheets/_rels/sheet6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1.bin"/></Relationships>
</file>

<file path=xl/worksheets/_rels/sheet6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2.bin"/></Relationships>
</file>

<file path=xl/worksheets/_rels/sheet6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3.bin"/></Relationships>
</file>

<file path=xl/worksheets/_rels/sheet6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4.bin"/></Relationships>
</file>

<file path=xl/worksheets/_rels/sheet6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5.bin"/></Relationships>
</file>

<file path=xl/worksheets/_rels/sheet6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6.bin"/></Relationships>
</file>

<file path=xl/worksheets/_rels/sheet6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7.bin"/></Relationships>
</file>

<file path=xl/worksheets/_rels/sheet6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8.bin"/></Relationships>
</file>

<file path=xl/worksheets/_rels/sheet6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9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0.bin"/></Relationships>
</file>

<file path=xl/worksheets/_rels/sheet6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1.bin"/></Relationships>
</file>

<file path=xl/worksheets/_rels/sheet6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2.bin"/></Relationships>
</file>

<file path=xl/worksheets/_rels/sheet6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3.bin"/></Relationships>
</file>

<file path=xl/worksheets/_rels/sheet6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4.bin"/></Relationships>
</file>

<file path=xl/worksheets/_rels/sheet6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5.bin"/></Relationships>
</file>

<file path=xl/worksheets/_rels/sheet6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6.bin"/></Relationships>
</file>

<file path=xl/worksheets/_rels/sheet6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7.bin"/></Relationships>
</file>

<file path=xl/worksheets/_rels/sheet6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8.bin"/></Relationships>
</file>

<file path=xl/worksheets/_rels/sheet6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0.bin"/></Relationships>
</file>

<file path=xl/worksheets/_rels/sheet6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1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61">
    <pageSetUpPr fitToPage="1"/>
  </sheetPr>
  <dimension ref="A1:F52"/>
  <sheetViews>
    <sheetView zoomScaleSheetLayoutView="100" workbookViewId="0">
      <selection activeCell="G9" sqref="G9:G13"/>
    </sheetView>
  </sheetViews>
  <sheetFormatPr defaultRowHeight="12.75"/>
  <cols>
    <col min="1" max="1" width="15.42578125" style="1" customWidth="1"/>
    <col min="2" max="2" width="13.28515625" style="1" customWidth="1"/>
    <col min="3" max="3" width="23" style="1" customWidth="1"/>
    <col min="4" max="4" width="14.7109375" style="1" customWidth="1"/>
    <col min="5" max="5" width="11.42578125" style="1" customWidth="1"/>
    <col min="6" max="6" width="14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5" spans="1:6">
      <c r="A5" s="57"/>
      <c r="B5" s="57"/>
      <c r="C5" s="57"/>
      <c r="D5" s="57"/>
      <c r="E5" s="57"/>
      <c r="F5" s="57"/>
    </row>
    <row r="6" spans="1:6">
      <c r="A6" s="57"/>
      <c r="B6" s="57"/>
      <c r="C6" s="57"/>
      <c r="D6" s="57"/>
      <c r="E6" s="57"/>
      <c r="F6" s="57"/>
    </row>
    <row r="7" spans="1:6">
      <c r="A7" s="111" t="s">
        <v>24</v>
      </c>
      <c r="B7" s="57"/>
      <c r="C7" s="57"/>
      <c r="D7" s="57"/>
      <c r="E7" s="57"/>
      <c r="F7" s="57"/>
    </row>
    <row r="8" spans="1:6" s="111" customFormat="1" ht="12.75" customHeight="1">
      <c r="B8" s="113"/>
      <c r="C8" s="113"/>
      <c r="D8" s="22" t="s">
        <v>23</v>
      </c>
      <c r="F8" s="113"/>
    </row>
    <row r="9" spans="1:6" s="111" customFormat="1">
      <c r="A9" s="111" t="s">
        <v>2691</v>
      </c>
      <c r="D9" s="112" t="s">
        <v>1119</v>
      </c>
      <c r="E9" s="111" t="s">
        <v>2686</v>
      </c>
    </row>
    <row r="10" spans="1:6" s="111" customFormat="1">
      <c r="A10" s="111" t="s">
        <v>1743</v>
      </c>
      <c r="D10" s="112" t="s">
        <v>1121</v>
      </c>
      <c r="E10" s="112" t="s">
        <v>2687</v>
      </c>
    </row>
    <row r="11" spans="1:6" s="111" customFormat="1">
      <c r="A11" s="111" t="s">
        <v>1744</v>
      </c>
      <c r="D11" s="112" t="s">
        <v>1093</v>
      </c>
      <c r="E11" s="112" t="s">
        <v>1094</v>
      </c>
    </row>
    <row r="12" spans="1:6" s="111" customFormat="1">
      <c r="A12" s="111" t="s">
        <v>1745</v>
      </c>
      <c r="D12" s="112" t="s">
        <v>1120</v>
      </c>
      <c r="E12" s="112" t="s">
        <v>2688</v>
      </c>
    </row>
    <row r="13" spans="1:6" s="111" customFormat="1"/>
    <row r="14" spans="1:6" s="111" customFormat="1"/>
    <row r="15" spans="1:6" s="111" customFormat="1" ht="14.25">
      <c r="A15" s="113"/>
      <c r="B15" s="113"/>
      <c r="C15" s="113"/>
      <c r="D15" s="113"/>
      <c r="E15" s="113"/>
      <c r="F15" s="113"/>
    </row>
    <row r="16" spans="1:6" s="15" customFormat="1" ht="20.100000000000001" customHeight="1">
      <c r="A16" s="18" t="s">
        <v>1113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 s="111" customFormat="1" ht="14.25">
      <c r="A17" s="114"/>
      <c r="B17" s="113"/>
      <c r="C17" s="113"/>
      <c r="D17" s="113"/>
      <c r="E17" s="113"/>
      <c r="F17" s="113"/>
    </row>
    <row r="18" spans="1:6" s="111" customFormat="1">
      <c r="A18" s="161"/>
      <c r="B18" s="116"/>
      <c r="C18" s="111" t="s">
        <v>2689</v>
      </c>
      <c r="F18" s="111">
        <v>240</v>
      </c>
    </row>
    <row r="19" spans="1:6" s="111" customFormat="1">
      <c r="A19" s="115"/>
      <c r="C19" s="111" t="s">
        <v>2690</v>
      </c>
    </row>
    <row r="20" spans="1:6" s="111" customFormat="1"/>
    <row r="21" spans="1:6" s="111" customFormat="1">
      <c r="A21" s="115"/>
    </row>
    <row r="22" spans="1:6" s="111" customFormat="1">
      <c r="A22" s="115"/>
    </row>
    <row r="23" spans="1:6" s="111" customFormat="1">
      <c r="A23" s="115"/>
    </row>
    <row r="24" spans="1:6" s="111" customFormat="1">
      <c r="A24" s="161"/>
      <c r="B24" s="116"/>
    </row>
    <row r="25" spans="1:6" s="111" customFormat="1">
      <c r="A25" s="115"/>
    </row>
    <row r="26" spans="1:6" s="111" customFormat="1"/>
    <row r="27" spans="1:6" s="111" customFormat="1"/>
    <row r="28" spans="1:6" s="111" customFormat="1"/>
    <row r="29" spans="1:6" s="111" customFormat="1"/>
    <row r="30" spans="1:6" s="111" customFormat="1"/>
    <row r="31" spans="1:6" s="111" customFormat="1">
      <c r="A31" s="115"/>
    </row>
    <row r="32" spans="1:6" s="111" customFormat="1">
      <c r="A32" s="115"/>
    </row>
    <row r="33" spans="1:6" s="111" customFormat="1" ht="13.5" thickBot="1">
      <c r="F33" s="117">
        <f>SUM(F18:F32)</f>
        <v>240</v>
      </c>
    </row>
    <row r="34" spans="1:6" s="111" customFormat="1" ht="13.5" thickTop="1"/>
    <row r="35" spans="1:6" s="111" customFormat="1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Hundred Forty and NO/100 -----------</v>
      </c>
      <c r="C35" s="119"/>
      <c r="D35" s="119"/>
      <c r="E35" s="119"/>
      <c r="F35" s="119"/>
    </row>
    <row r="36" spans="1:6" s="111" customFormat="1">
      <c r="A36" s="120" t="s">
        <v>11</v>
      </c>
    </row>
    <row r="37" spans="1:6" s="111" customFormat="1">
      <c r="A37" s="111" t="s">
        <v>10</v>
      </c>
    </row>
    <row r="38" spans="1:6" s="111" customFormat="1"/>
    <row r="39" spans="1:6" s="111" customFormat="1" ht="25.5">
      <c r="A39" s="126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22"/>
      <c r="B42" s="122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11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275" t="s">
        <v>2948</v>
      </c>
      <c r="B50" s="13"/>
      <c r="C50" s="13"/>
      <c r="D50" s="13"/>
      <c r="E50" s="13"/>
      <c r="F50" s="13"/>
    </row>
    <row r="51" spans="1:6">
      <c r="A51" s="13"/>
      <c r="B51" s="13"/>
      <c r="C51" s="13"/>
      <c r="D51" s="2" t="s">
        <v>1</v>
      </c>
      <c r="E51" s="13"/>
      <c r="F51" s="13"/>
    </row>
    <row r="52" spans="1:6">
      <c r="A52" s="13"/>
      <c r="B52" s="13"/>
      <c r="C52" s="13"/>
      <c r="D52" s="2" t="s">
        <v>0</v>
      </c>
      <c r="E52" s="13"/>
      <c r="F52" s="13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C68F3-1BDA-40B7-BBFE-9733C294B4C7}">
  <dimension ref="A1:R54"/>
  <sheetViews>
    <sheetView view="pageBreakPreview" zoomScaleNormal="100" zoomScaleSheetLayoutView="100" workbookViewId="0">
      <selection activeCell="D10" sqref="D10"/>
    </sheetView>
  </sheetViews>
  <sheetFormatPr defaultRowHeight="12.75"/>
  <cols>
    <col min="1" max="1" width="15.42578125" style="483" customWidth="1"/>
    <col min="2" max="2" width="12.42578125" style="483" customWidth="1"/>
    <col min="3" max="3" width="1" style="483" customWidth="1"/>
    <col min="4" max="4" width="21" style="483" customWidth="1"/>
    <col min="5" max="5" width="0.85546875" style="483" customWidth="1"/>
    <col min="6" max="6" width="14.5703125" style="483" customWidth="1"/>
    <col min="7" max="7" width="11.28515625" style="483" customWidth="1"/>
    <col min="8" max="8" width="13.28515625" style="483" customWidth="1"/>
    <col min="9" max="16384" width="9.140625" style="483"/>
  </cols>
  <sheetData>
    <row r="1" spans="1:1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8">
      <c r="A8" s="483" t="s">
        <v>24</v>
      </c>
      <c r="F8" s="22" t="s">
        <v>23</v>
      </c>
      <c r="J8" s="483" t="s">
        <v>7222</v>
      </c>
      <c r="K8" s="483">
        <v>43902</v>
      </c>
      <c r="L8" s="483" t="s">
        <v>7223</v>
      </c>
      <c r="M8" s="483" t="s">
        <v>7224</v>
      </c>
    </row>
    <row r="9" spans="1:18">
      <c r="F9" s="484" t="s">
        <v>1716</v>
      </c>
      <c r="G9" s="483" t="s">
        <v>7241</v>
      </c>
    </row>
    <row r="10" spans="1:18">
      <c r="A10" s="483" t="s">
        <v>7243</v>
      </c>
      <c r="F10" s="484" t="s">
        <v>1162</v>
      </c>
      <c r="G10" s="484" t="s">
        <v>7191</v>
      </c>
    </row>
    <row r="11" spans="1:18">
      <c r="A11" s="483" t="s">
        <v>7244</v>
      </c>
      <c r="F11" s="484" t="s">
        <v>1163</v>
      </c>
      <c r="G11" s="484" t="s">
        <v>1094</v>
      </c>
    </row>
    <row r="12" spans="1:18">
      <c r="A12" s="483" t="s">
        <v>7245</v>
      </c>
      <c r="F12" s="484" t="s">
        <v>1096</v>
      </c>
      <c r="G12" s="484" t="s">
        <v>7242</v>
      </c>
    </row>
    <row r="13" spans="1:18">
      <c r="A13" s="483" t="s">
        <v>7246</v>
      </c>
    </row>
    <row r="14" spans="1:18">
      <c r="A14" s="483" t="s">
        <v>7247</v>
      </c>
      <c r="K14" s="485" t="s">
        <v>7225</v>
      </c>
      <c r="L14" s="241" t="s">
        <v>7226</v>
      </c>
      <c r="M14" s="485"/>
      <c r="N14" s="483" t="s">
        <v>7227</v>
      </c>
      <c r="O14" s="486"/>
      <c r="R14" s="483">
        <v>360000</v>
      </c>
    </row>
    <row r="15" spans="1:18">
      <c r="N15" s="483" t="s">
        <v>7228</v>
      </c>
      <c r="O15" s="486"/>
    </row>
    <row r="16" spans="1:18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  <c r="J16" s="485"/>
      <c r="K16" s="485"/>
      <c r="L16" s="485"/>
      <c r="M16" s="485"/>
      <c r="N16" s="483" t="s">
        <v>7229</v>
      </c>
      <c r="O16" s="486"/>
      <c r="P16" s="483"/>
      <c r="Q16" s="483"/>
      <c r="R16" s="483"/>
    </row>
    <row r="17" spans="1:18">
      <c r="K17" s="485"/>
      <c r="L17" s="485"/>
      <c r="M17" s="485"/>
      <c r="N17" s="486" t="s">
        <v>7230</v>
      </c>
      <c r="O17" s="486"/>
    </row>
    <row r="18" spans="1:18">
      <c r="D18" s="482" t="s">
        <v>7248</v>
      </c>
      <c r="E18" s="482"/>
      <c r="J18" s="485"/>
      <c r="K18" s="485"/>
      <c r="L18" s="485"/>
      <c r="M18" s="485"/>
      <c r="N18" s="486" t="s">
        <v>7231</v>
      </c>
      <c r="O18" s="486"/>
    </row>
    <row r="19" spans="1:18">
      <c r="K19" s="485"/>
      <c r="L19" s="241"/>
      <c r="N19" s="483" t="s">
        <v>7232</v>
      </c>
    </row>
    <row r="20" spans="1:18">
      <c r="A20" s="485" t="s">
        <v>7249</v>
      </c>
      <c r="B20" s="241" t="s">
        <v>7250</v>
      </c>
      <c r="C20" s="485"/>
      <c r="D20" s="483" t="s">
        <v>7252</v>
      </c>
      <c r="E20" s="486"/>
      <c r="H20" s="483">
        <f>600000*20%</f>
        <v>120000</v>
      </c>
      <c r="K20" s="485"/>
      <c r="L20" s="485"/>
      <c r="M20" s="485"/>
      <c r="O20" s="486"/>
    </row>
    <row r="21" spans="1:18">
      <c r="B21" s="241" t="s">
        <v>7251</v>
      </c>
      <c r="D21" s="483" t="s">
        <v>7253</v>
      </c>
      <c r="E21" s="486"/>
      <c r="L21" s="486"/>
      <c r="M21" s="486"/>
    </row>
    <row r="22" spans="1:18">
      <c r="A22" s="485"/>
      <c r="B22" s="485"/>
      <c r="C22" s="485"/>
      <c r="D22" s="483" t="s">
        <v>7254</v>
      </c>
      <c r="E22" s="486"/>
      <c r="L22" s="486"/>
      <c r="M22" s="486"/>
    </row>
    <row r="23" spans="1:18">
      <c r="A23" s="485"/>
      <c r="B23" s="485"/>
      <c r="C23" s="485"/>
      <c r="D23" s="486"/>
      <c r="E23" s="486"/>
      <c r="L23" s="486"/>
      <c r="M23" s="486"/>
    </row>
    <row r="24" spans="1:18">
      <c r="A24" s="485"/>
      <c r="B24" s="485"/>
      <c r="C24" s="485"/>
      <c r="D24" s="486"/>
      <c r="E24" s="486"/>
      <c r="L24" s="486"/>
      <c r="M24" s="486"/>
    </row>
    <row r="25" spans="1:18">
      <c r="A25" s="485"/>
      <c r="B25" s="241"/>
      <c r="L25" s="486"/>
    </row>
    <row r="26" spans="1:18">
      <c r="A26" s="485"/>
      <c r="B26" s="485"/>
      <c r="C26" s="485"/>
      <c r="E26" s="486"/>
      <c r="L26" s="486"/>
      <c r="M26" s="486"/>
    </row>
    <row r="27" spans="1:18">
      <c r="A27" s="485"/>
      <c r="B27" s="485"/>
      <c r="C27" s="485"/>
      <c r="E27" s="486"/>
      <c r="K27" s="485" t="s">
        <v>7233</v>
      </c>
      <c r="L27" s="241" t="s">
        <v>7234</v>
      </c>
      <c r="N27" s="483" t="s">
        <v>7235</v>
      </c>
      <c r="R27" s="483">
        <v>360000</v>
      </c>
    </row>
    <row r="28" spans="1:18">
      <c r="A28" s="485"/>
      <c r="B28" s="485"/>
      <c r="C28" s="485"/>
      <c r="E28" s="486"/>
      <c r="K28" s="485"/>
      <c r="L28" s="485"/>
      <c r="M28" s="485"/>
      <c r="N28" s="483" t="s">
        <v>7236</v>
      </c>
      <c r="O28" s="486"/>
    </row>
    <row r="29" spans="1:18">
      <c r="A29" s="485"/>
      <c r="B29" s="485"/>
      <c r="C29" s="485"/>
      <c r="E29" s="482"/>
      <c r="K29" s="485"/>
      <c r="L29" s="485"/>
      <c r="M29" s="485"/>
      <c r="N29" s="483" t="s">
        <v>7237</v>
      </c>
      <c r="O29" s="486"/>
    </row>
    <row r="30" spans="1:18">
      <c r="A30" s="485"/>
      <c r="B30" s="485"/>
      <c r="C30" s="485"/>
      <c r="E30" s="482"/>
      <c r="K30" s="485"/>
      <c r="L30" s="485"/>
      <c r="M30" s="485"/>
      <c r="N30" s="483" t="s">
        <v>7238</v>
      </c>
      <c r="O30" s="486"/>
    </row>
    <row r="31" spans="1:18">
      <c r="A31" s="485"/>
      <c r="B31" s="485"/>
      <c r="C31" s="485"/>
      <c r="K31" s="485"/>
      <c r="L31" s="485"/>
      <c r="M31" s="485"/>
      <c r="N31" s="483" t="s">
        <v>7239</v>
      </c>
      <c r="O31" s="482"/>
    </row>
    <row r="32" spans="1:18">
      <c r="A32" s="485"/>
      <c r="B32" s="485"/>
      <c r="C32" s="485"/>
      <c r="D32" s="486"/>
      <c r="E32" s="486"/>
      <c r="K32" s="485"/>
      <c r="L32" s="485"/>
      <c r="M32" s="485"/>
      <c r="N32" s="483" t="s">
        <v>7240</v>
      </c>
      <c r="O32" s="482"/>
    </row>
    <row r="34" spans="1:8" ht="13.5" thickBot="1">
      <c r="H34" s="127">
        <f>SUM(H19:H33)</f>
        <v>120000</v>
      </c>
    </row>
    <row r="35" spans="1:8" ht="13.5" thickTop="1"/>
    <row r="36" spans="1:8" ht="20.100000000000001" customHeight="1">
      <c r="A36" s="118" t="s">
        <v>1717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>One Hundred Twenty Thousand and NO/100 -----------</v>
      </c>
      <c r="C36" s="202"/>
      <c r="D36" s="119"/>
      <c r="E36" s="119"/>
      <c r="F36" s="119"/>
      <c r="G36" s="119"/>
      <c r="H36" s="119"/>
    </row>
    <row r="37" spans="1:8" ht="20.100000000000001" customHeight="1">
      <c r="A37" s="160"/>
      <c r="B37" s="151"/>
      <c r="C37" s="151"/>
      <c r="D37" s="126"/>
      <c r="E37" s="126"/>
      <c r="F37" s="126"/>
      <c r="G37" s="126"/>
      <c r="H37" s="126"/>
    </row>
    <row r="38" spans="1:8" ht="25.5">
      <c r="A38" s="269" t="s">
        <v>3060</v>
      </c>
      <c r="D38" s="487" t="s">
        <v>8</v>
      </c>
      <c r="F38" s="265" t="s">
        <v>2894</v>
      </c>
      <c r="G38" s="266"/>
      <c r="H38" s="267"/>
    </row>
    <row r="39" spans="1:8">
      <c r="A39" s="487"/>
      <c r="D39" s="487"/>
      <c r="F39" s="310"/>
      <c r="G39" s="311"/>
      <c r="H39" s="311"/>
    </row>
    <row r="40" spans="1:8">
      <c r="D40" s="487"/>
      <c r="E40" s="121"/>
    </row>
    <row r="41" spans="1:8">
      <c r="A41" s="487"/>
      <c r="D41" s="487"/>
      <c r="E41" s="121"/>
    </row>
    <row r="42" spans="1:8">
      <c r="A42" s="150"/>
      <c r="B42" s="122"/>
      <c r="D42" s="150"/>
    </row>
    <row r="43" spans="1:8">
      <c r="A43" s="487"/>
      <c r="D43" s="487" t="s">
        <v>103</v>
      </c>
    </row>
    <row r="44" spans="1:8">
      <c r="A44" s="487"/>
      <c r="D44" s="487"/>
    </row>
    <row r="45" spans="1:8">
      <c r="A45" s="487" t="s">
        <v>8</v>
      </c>
      <c r="D45" s="487" t="s">
        <v>8</v>
      </c>
      <c r="F45" s="487" t="s">
        <v>7</v>
      </c>
      <c r="H45" s="124"/>
    </row>
    <row r="46" spans="1:8">
      <c r="A46" s="487"/>
      <c r="D46" s="487"/>
    </row>
    <row r="47" spans="1:8">
      <c r="A47" s="487"/>
      <c r="D47" s="487"/>
    </row>
    <row r="48" spans="1:8">
      <c r="A48" s="487"/>
      <c r="D48" s="487"/>
    </row>
    <row r="49" spans="1:8">
      <c r="A49" s="150"/>
      <c r="B49" s="122"/>
      <c r="D49" s="150"/>
      <c r="F49" s="122"/>
      <c r="G49" s="122"/>
      <c r="H49" s="122"/>
    </row>
    <row r="50" spans="1:8" s="126" customFormat="1" ht="17.100000000000001" customHeight="1">
      <c r="A50" s="487" t="s">
        <v>3441</v>
      </c>
      <c r="B50" s="125"/>
      <c r="C50" s="125"/>
      <c r="D50" s="487" t="s">
        <v>103</v>
      </c>
      <c r="F50" s="126" t="s">
        <v>3</v>
      </c>
    </row>
    <row r="51" spans="1:8">
      <c r="A51" s="487"/>
      <c r="F51" s="483" t="s">
        <v>2</v>
      </c>
    </row>
    <row r="52" spans="1:8">
      <c r="A52" s="487"/>
    </row>
    <row r="53" spans="1:8">
      <c r="F53" s="482" t="s">
        <v>1</v>
      </c>
    </row>
    <row r="54" spans="1:8">
      <c r="F54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209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1980</v>
      </c>
      <c r="F9" s="111"/>
    </row>
    <row r="10" spans="1:6">
      <c r="A10" s="111" t="s">
        <v>1982</v>
      </c>
      <c r="B10" s="111"/>
      <c r="C10" s="111"/>
      <c r="D10" s="112" t="s">
        <v>1162</v>
      </c>
      <c r="E10" s="112" t="s">
        <v>1957</v>
      </c>
      <c r="F10" s="111"/>
    </row>
    <row r="11" spans="1:6">
      <c r="A11" s="111" t="s">
        <v>1983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1984</v>
      </c>
      <c r="B12" s="111"/>
      <c r="C12" s="111"/>
      <c r="D12" s="112" t="s">
        <v>1096</v>
      </c>
      <c r="E12" s="112" t="s">
        <v>1981</v>
      </c>
      <c r="F12" s="111"/>
    </row>
    <row r="13" spans="1:6">
      <c r="A13" s="111" t="s">
        <v>1985</v>
      </c>
      <c r="B13" s="111"/>
      <c r="C13" s="111"/>
      <c r="D13" s="111"/>
      <c r="E13" s="111"/>
      <c r="F13" s="111"/>
    </row>
    <row r="14" spans="1:6">
      <c r="A14" s="111" t="s">
        <v>1986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111"/>
      <c r="D18" s="111"/>
      <c r="E18" s="111"/>
      <c r="F18" s="111"/>
    </row>
    <row r="19" spans="1:6">
      <c r="A19" s="116" t="s">
        <v>1989</v>
      </c>
      <c r="B19" s="116" t="s">
        <v>1990</v>
      </c>
      <c r="C19" s="111" t="s">
        <v>1987</v>
      </c>
      <c r="D19" s="111"/>
      <c r="E19" s="111"/>
      <c r="F19" s="111">
        <v>300</v>
      </c>
    </row>
    <row r="20" spans="1:6">
      <c r="A20" s="111"/>
      <c r="B20" s="111"/>
      <c r="C20" s="111" t="s">
        <v>1988</v>
      </c>
      <c r="D20" s="111"/>
      <c r="E20" s="111"/>
      <c r="F20" s="111"/>
    </row>
    <row r="21" spans="1:6">
      <c r="A21" s="112"/>
      <c r="B21" s="111"/>
      <c r="C21" s="111"/>
      <c r="D21" s="111"/>
      <c r="E21" s="111"/>
      <c r="F21" s="111"/>
    </row>
    <row r="22" spans="1:6">
      <c r="A22" s="111"/>
      <c r="B22" s="111"/>
      <c r="C22" s="111"/>
      <c r="D22" s="111"/>
      <c r="E22" s="111"/>
      <c r="F22" s="111"/>
    </row>
    <row r="23" spans="1:6">
      <c r="A23" s="111"/>
      <c r="B23" s="111"/>
      <c r="C23" s="111"/>
      <c r="D23" s="111"/>
      <c r="E23" s="111"/>
      <c r="F23" s="111"/>
    </row>
    <row r="24" spans="1:6">
      <c r="A24" s="111"/>
      <c r="B24" s="111"/>
      <c r="C24" s="111"/>
      <c r="D24" s="111"/>
      <c r="E24" s="111"/>
      <c r="F24" s="111"/>
    </row>
    <row r="25" spans="1:6">
      <c r="A25" s="111"/>
      <c r="B25" s="111"/>
      <c r="C25" s="111"/>
      <c r="D25" s="111"/>
      <c r="E25" s="111"/>
      <c r="F25" s="111"/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1820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Sheet211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4.42578125" style="111" customWidth="1"/>
    <col min="3" max="3" width="22.42578125" style="111" customWidth="1"/>
    <col min="4" max="4" width="13.140625" style="111" customWidth="1"/>
    <col min="5" max="5" width="8.2851562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31" t="s">
        <v>1970</v>
      </c>
    </row>
    <row r="10" spans="1:6">
      <c r="A10" s="111" t="s">
        <v>1972</v>
      </c>
      <c r="D10" s="112" t="s">
        <v>1180</v>
      </c>
      <c r="E10" s="132" t="s">
        <v>1944</v>
      </c>
    </row>
    <row r="11" spans="1:6">
      <c r="A11" s="111" t="s">
        <v>1973</v>
      </c>
      <c r="D11" s="112" t="s">
        <v>1181</v>
      </c>
      <c r="E11" s="132" t="s">
        <v>1094</v>
      </c>
    </row>
    <row r="12" spans="1:6">
      <c r="A12" s="111" t="s">
        <v>1974</v>
      </c>
      <c r="D12" s="112" t="s">
        <v>1182</v>
      </c>
      <c r="E12" s="132" t="s">
        <v>1971</v>
      </c>
    </row>
    <row r="13" spans="1:6">
      <c r="A13" s="111" t="s">
        <v>567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61"/>
      <c r="B18" s="161"/>
      <c r="C18" s="2" t="s">
        <v>1975</v>
      </c>
    </row>
    <row r="19" spans="1:6">
      <c r="A19" s="116"/>
      <c r="B19" s="121"/>
      <c r="F19" s="149"/>
    </row>
    <row r="20" spans="1:6">
      <c r="A20" s="116" t="s">
        <v>1976</v>
      </c>
      <c r="B20" s="121" t="s">
        <v>1977</v>
      </c>
      <c r="C20" s="111" t="s">
        <v>1978</v>
      </c>
      <c r="F20" s="149">
        <v>2000</v>
      </c>
    </row>
    <row r="21" spans="1:6">
      <c r="C21" s="111" t="s">
        <v>1979</v>
      </c>
    </row>
    <row r="22" spans="1:6">
      <c r="A22" s="115"/>
      <c r="B22" s="121"/>
      <c r="F22" s="149"/>
    </row>
    <row r="24" spans="1:6">
      <c r="A24" s="148"/>
      <c r="B24" s="157"/>
      <c r="F24" s="149"/>
    </row>
    <row r="25" spans="1:6">
      <c r="A25" s="148"/>
      <c r="B25" s="157"/>
    </row>
    <row r="26" spans="1:6">
      <c r="A26" s="148"/>
      <c r="B26" s="120"/>
    </row>
    <row r="27" spans="1:6">
      <c r="A27" s="148"/>
    </row>
    <row r="28" spans="1:6">
      <c r="A28" s="148"/>
    </row>
    <row r="33" spans="1:6" ht="13.5" thickBot="1">
      <c r="F33" s="127">
        <f>SUM(F20:F32)</f>
        <v>2000</v>
      </c>
    </row>
    <row r="34" spans="1:6" ht="13.5" thickTop="1"/>
    <row r="35" spans="1:6" ht="20.100000000000001" customHeight="1">
      <c r="A35" s="118" t="s">
        <v>204</v>
      </c>
      <c r="B35" s="118" t="s">
        <v>1409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210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1886</v>
      </c>
    </row>
    <row r="10" spans="1:6">
      <c r="A10" s="111" t="s">
        <v>1887</v>
      </c>
      <c r="D10" s="112" t="s">
        <v>1180</v>
      </c>
      <c r="E10" s="112" t="s">
        <v>1885</v>
      </c>
    </row>
    <row r="11" spans="1:6">
      <c r="D11" s="112" t="s">
        <v>1181</v>
      </c>
      <c r="E11" s="112" t="s">
        <v>1094</v>
      </c>
    </row>
    <row r="12" spans="1:6">
      <c r="D12" s="112" t="s">
        <v>1182</v>
      </c>
      <c r="E12" s="112" t="s">
        <v>1270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1888</v>
      </c>
    </row>
    <row r="19" spans="1:6">
      <c r="B19" s="116"/>
    </row>
    <row r="20" spans="1:6">
      <c r="A20" s="116" t="s">
        <v>11</v>
      </c>
      <c r="B20" s="120"/>
      <c r="C20" s="111" t="s">
        <v>1890</v>
      </c>
      <c r="F20" s="111">
        <f>4000*3.089</f>
        <v>12356</v>
      </c>
    </row>
    <row r="21" spans="1:6">
      <c r="C21" s="111" t="s">
        <v>1891</v>
      </c>
    </row>
    <row r="22" spans="1:6">
      <c r="A22" s="116"/>
      <c r="B22" s="116"/>
    </row>
    <row r="23" spans="1:6">
      <c r="C23" s="123" t="s">
        <v>1889</v>
      </c>
    </row>
    <row r="24" spans="1:6">
      <c r="A24" s="148"/>
      <c r="B24" s="157"/>
    </row>
    <row r="25" spans="1:6">
      <c r="C25" s="2"/>
    </row>
    <row r="27" spans="1:6">
      <c r="A27" s="115"/>
      <c r="B27" s="121"/>
      <c r="F27" s="149"/>
    </row>
    <row r="29" spans="1:6">
      <c r="A29" s="115"/>
      <c r="B29" s="121"/>
      <c r="F29" s="149"/>
    </row>
    <row r="33" spans="1:6" ht="13.5" thickBot="1">
      <c r="F33" s="127">
        <f>SUM(F20:F32)</f>
        <v>12356</v>
      </c>
    </row>
    <row r="34" spans="1:6" ht="13.5" thickTop="1"/>
    <row r="35" spans="1:6" ht="20.100000000000001" customHeight="1">
      <c r="A35" s="118" t="s">
        <v>204</v>
      </c>
      <c r="B35" s="118" t="s">
        <v>1892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Sheet118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2557</v>
      </c>
      <c r="F9" s="111"/>
    </row>
    <row r="10" spans="1:6">
      <c r="A10" s="111" t="s">
        <v>1410</v>
      </c>
      <c r="B10" s="111"/>
      <c r="C10" s="111"/>
      <c r="D10" s="112" t="s">
        <v>1162</v>
      </c>
      <c r="E10" s="112" t="s">
        <v>2549</v>
      </c>
      <c r="F10" s="111"/>
    </row>
    <row r="11" spans="1:6">
      <c r="A11" s="111" t="s">
        <v>1411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1412</v>
      </c>
      <c r="B12" s="111"/>
      <c r="C12" s="111"/>
      <c r="D12" s="112" t="s">
        <v>1135</v>
      </c>
      <c r="E12" s="112" t="s">
        <v>2558</v>
      </c>
      <c r="F12" s="111"/>
    </row>
    <row r="13" spans="1:6">
      <c r="A13" s="111" t="s">
        <v>1413</v>
      </c>
      <c r="B13" s="111"/>
      <c r="C13" s="111"/>
      <c r="D13" s="111"/>
      <c r="E13" s="111"/>
      <c r="F13" s="111"/>
    </row>
    <row r="14" spans="1:6">
      <c r="A14" s="111" t="s">
        <v>1414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168"/>
      <c r="D18" s="111"/>
      <c r="E18" s="111"/>
      <c r="F18" s="111"/>
    </row>
    <row r="19" spans="1:6">
      <c r="A19" s="116"/>
      <c r="B19" s="116"/>
      <c r="C19" s="111" t="s">
        <v>1416</v>
      </c>
      <c r="D19" s="111"/>
      <c r="E19" s="111"/>
      <c r="F19" s="111">
        <v>500</v>
      </c>
    </row>
    <row r="20" spans="1:6">
      <c r="A20" s="116"/>
      <c r="B20" s="116"/>
      <c r="C20" s="111" t="s">
        <v>1415</v>
      </c>
      <c r="D20" s="111"/>
      <c r="E20" s="111"/>
      <c r="F20" s="111"/>
    </row>
    <row r="21" spans="1:6">
      <c r="A21" s="116"/>
      <c r="B21" s="120"/>
      <c r="C21" s="111"/>
      <c r="D21" s="111"/>
      <c r="E21" s="111"/>
      <c r="F21" s="111"/>
    </row>
    <row r="22" spans="1:6">
      <c r="A22" s="116"/>
      <c r="B22" s="120"/>
      <c r="C22" s="111"/>
      <c r="D22" s="111"/>
      <c r="E22" s="111"/>
      <c r="F22" s="111"/>
    </row>
    <row r="23" spans="1:6">
      <c r="A23" s="116"/>
      <c r="B23" s="120"/>
      <c r="C23" s="111"/>
      <c r="D23" s="111"/>
      <c r="E23" s="111"/>
      <c r="F23" s="111"/>
    </row>
    <row r="24" spans="1:6">
      <c r="A24" s="116"/>
      <c r="B24" s="120"/>
      <c r="C24" s="111"/>
      <c r="D24" s="111"/>
      <c r="E24" s="111"/>
      <c r="F24" s="111"/>
    </row>
    <row r="25" spans="1:6">
      <c r="A25" s="116"/>
      <c r="B25" s="120"/>
      <c r="C25" s="111"/>
      <c r="D25" s="111"/>
      <c r="E25" s="111"/>
      <c r="F25" s="111"/>
    </row>
    <row r="26" spans="1:6">
      <c r="A26" s="116"/>
      <c r="B26" s="120"/>
      <c r="C26" s="111"/>
      <c r="D26" s="111"/>
      <c r="E26" s="111"/>
      <c r="F26" s="111"/>
    </row>
    <row r="27" spans="1:6">
      <c r="A27" s="116"/>
      <c r="B27" s="120"/>
      <c r="C27" s="111"/>
      <c r="D27" s="111"/>
      <c r="E27" s="111"/>
      <c r="F27" s="111"/>
    </row>
    <row r="28" spans="1:6">
      <c r="A28" s="116"/>
      <c r="B28" s="120"/>
      <c r="C28" s="111"/>
      <c r="D28" s="111"/>
      <c r="E28" s="111"/>
      <c r="F28" s="111"/>
    </row>
    <row r="29" spans="1:6">
      <c r="A29" s="116"/>
      <c r="B29" s="120"/>
      <c r="C29" s="111"/>
      <c r="D29" s="111"/>
      <c r="E29" s="111"/>
      <c r="F29" s="111"/>
    </row>
    <row r="30" spans="1:6">
      <c r="A30" s="116"/>
      <c r="B30" s="120"/>
      <c r="C30" s="111"/>
      <c r="D30" s="111"/>
      <c r="E30" s="111"/>
      <c r="F30" s="111"/>
    </row>
    <row r="31" spans="1:6">
      <c r="A31" s="116"/>
      <c r="B31" s="120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1284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B42" s="111"/>
      <c r="C42" s="111"/>
      <c r="D42" s="111"/>
      <c r="E42" s="111"/>
      <c r="F42" s="111"/>
    </row>
    <row r="43" spans="1:6">
      <c r="A43" s="123" t="s">
        <v>8</v>
      </c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235">
    <pageSetUpPr fitToPage="1"/>
  </sheetPr>
  <dimension ref="A1:G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2149</v>
      </c>
      <c r="F9" s="111"/>
    </row>
    <row r="10" spans="1:6">
      <c r="A10" s="111" t="s">
        <v>2016</v>
      </c>
      <c r="B10" s="111"/>
      <c r="C10" s="111"/>
      <c r="D10" s="112" t="s">
        <v>1162</v>
      </c>
      <c r="E10" s="112" t="s">
        <v>2147</v>
      </c>
      <c r="F10" s="111"/>
    </row>
    <row r="11" spans="1:6">
      <c r="A11" s="111" t="s">
        <v>2017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1135</v>
      </c>
      <c r="E12" s="112" t="s">
        <v>2150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/>
      <c r="D18" s="111"/>
      <c r="E18" s="111"/>
      <c r="F18" s="111"/>
    </row>
    <row r="19" spans="1:7">
      <c r="A19" s="111"/>
      <c r="B19" s="111"/>
      <c r="C19" s="2" t="s">
        <v>1099</v>
      </c>
      <c r="D19" s="111"/>
      <c r="E19" s="111"/>
      <c r="F19" s="111"/>
      <c r="G19" s="111"/>
    </row>
    <row r="20" spans="1:7">
      <c r="A20" s="173"/>
      <c r="B20" s="111"/>
      <c r="C20" s="2" t="s">
        <v>2021</v>
      </c>
      <c r="D20" s="111"/>
      <c r="E20" s="111"/>
      <c r="F20" s="111"/>
      <c r="G20" s="111"/>
    </row>
    <row r="21" spans="1:7">
      <c r="A21" s="111"/>
      <c r="B21" s="111"/>
      <c r="C21" s="111"/>
      <c r="D21" s="111"/>
      <c r="E21" s="111"/>
      <c r="F21" s="111"/>
      <c r="G21" s="111"/>
    </row>
    <row r="22" spans="1:7">
      <c r="A22" s="166" t="s">
        <v>2018</v>
      </c>
      <c r="B22" s="111"/>
      <c r="C22" s="111" t="s">
        <v>1616</v>
      </c>
      <c r="D22" s="111"/>
      <c r="E22" s="111"/>
      <c r="F22" s="111"/>
      <c r="G22" s="111"/>
    </row>
    <row r="23" spans="1:7">
      <c r="A23" s="174"/>
      <c r="B23" s="111"/>
      <c r="C23" s="111" t="s">
        <v>2151</v>
      </c>
      <c r="D23" s="111"/>
      <c r="E23" s="111"/>
      <c r="F23" s="111">
        <v>45.2</v>
      </c>
      <c r="G23" s="111"/>
    </row>
    <row r="24" spans="1:7">
      <c r="A24" s="173"/>
      <c r="B24" s="111"/>
      <c r="C24" s="111"/>
      <c r="D24" s="111"/>
      <c r="E24" s="111"/>
      <c r="F24" s="111"/>
      <c r="G24" s="111"/>
    </row>
    <row r="25" spans="1:7">
      <c r="A25" s="174"/>
      <c r="B25" s="111"/>
      <c r="C25" s="111"/>
      <c r="D25" s="111"/>
      <c r="E25" s="111"/>
      <c r="F25" s="111"/>
      <c r="G25" s="111"/>
    </row>
    <row r="26" spans="1:7">
      <c r="A26" s="173"/>
      <c r="B26" s="111"/>
      <c r="C26" s="167"/>
      <c r="D26" s="111"/>
      <c r="E26" s="111"/>
      <c r="F26" s="111"/>
      <c r="G26" s="111"/>
    </row>
    <row r="27" spans="1:7">
      <c r="A27" s="173"/>
      <c r="B27" s="111"/>
      <c r="C27" s="111"/>
      <c r="D27" s="111"/>
      <c r="E27" s="111"/>
      <c r="F27" s="111"/>
      <c r="G27" s="111"/>
    </row>
    <row r="28" spans="1:7">
      <c r="A28" s="116"/>
      <c r="B28" s="120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1"/>
      <c r="B32" s="111"/>
      <c r="C32" s="111"/>
      <c r="D32" s="111"/>
      <c r="E32" s="111"/>
      <c r="G32" s="111"/>
    </row>
    <row r="33" spans="1:7" ht="13.5" thickBot="1">
      <c r="A33" s="111"/>
      <c r="B33" s="111"/>
      <c r="C33" s="111"/>
      <c r="D33" s="111"/>
      <c r="E33" s="111"/>
      <c r="F33" s="117">
        <f>SUM(F20:F32)</f>
        <v>45.2</v>
      </c>
      <c r="G33" s="111"/>
    </row>
    <row r="34" spans="1:7" ht="13.5" thickTop="1">
      <c r="A34" s="111"/>
      <c r="B34" s="111"/>
      <c r="C34" s="111"/>
      <c r="D34" s="111"/>
      <c r="E34" s="111"/>
      <c r="F34" s="111"/>
      <c r="G34" s="111"/>
    </row>
    <row r="35" spans="1:7" ht="20.100000000000001" customHeight="1">
      <c r="A35" s="118" t="s">
        <v>1133</v>
      </c>
      <c r="B35" s="118" t="s">
        <v>2152</v>
      </c>
      <c r="C35" s="119"/>
      <c r="D35" s="119"/>
      <c r="E35" s="119"/>
      <c r="F35" s="119"/>
      <c r="G35" s="111"/>
    </row>
    <row r="36" spans="1:7">
      <c r="A36" s="120" t="s">
        <v>11</v>
      </c>
      <c r="B36" s="111"/>
      <c r="C36" s="111"/>
      <c r="D36" s="111"/>
      <c r="E36" s="111"/>
      <c r="F36" s="111"/>
    </row>
    <row r="37" spans="1:7">
      <c r="A37" s="111" t="s">
        <v>10</v>
      </c>
      <c r="B37" s="111"/>
      <c r="C37" s="111"/>
      <c r="D37" s="111"/>
      <c r="E37" s="111"/>
      <c r="F37" s="111"/>
    </row>
    <row r="38" spans="1:7">
      <c r="A38" s="111"/>
      <c r="B38" s="111"/>
      <c r="C38" s="111"/>
      <c r="D38" s="111"/>
      <c r="E38" s="111"/>
      <c r="F38" s="111"/>
    </row>
    <row r="39" spans="1:7" ht="25.5">
      <c r="A39" s="126"/>
      <c r="B39" s="111"/>
      <c r="C39" s="111"/>
      <c r="D39" s="265" t="s">
        <v>2894</v>
      </c>
      <c r="E39" s="266"/>
      <c r="F39" s="267"/>
    </row>
    <row r="40" spans="1:7">
      <c r="A40" s="111"/>
      <c r="B40" s="111"/>
      <c r="C40" s="121"/>
      <c r="D40" s="111"/>
      <c r="E40" s="111"/>
      <c r="F40" s="111"/>
    </row>
    <row r="41" spans="1:7">
      <c r="A41" s="122"/>
      <c r="B41" s="122"/>
      <c r="C41" s="111"/>
      <c r="D41" s="111"/>
      <c r="E41" s="111"/>
      <c r="F41" s="111"/>
    </row>
    <row r="42" spans="1:7">
      <c r="B42" s="111"/>
      <c r="C42" s="111"/>
      <c r="D42" s="111"/>
      <c r="E42" s="111"/>
      <c r="F42" s="111"/>
    </row>
    <row r="43" spans="1:7">
      <c r="A43" s="123" t="s">
        <v>8</v>
      </c>
      <c r="C43" s="111"/>
      <c r="D43" s="123" t="s">
        <v>7</v>
      </c>
      <c r="E43" s="111"/>
      <c r="F43" s="124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11"/>
      <c r="D45" s="111"/>
      <c r="E45" s="111"/>
      <c r="F45" s="111"/>
    </row>
    <row r="46" spans="1:7">
      <c r="A46" s="111"/>
      <c r="B46" s="111"/>
      <c r="C46" s="111"/>
      <c r="D46" s="111"/>
      <c r="E46" s="111"/>
      <c r="F46" s="111"/>
    </row>
    <row r="47" spans="1:7">
      <c r="A47" s="122"/>
      <c r="B47" s="122"/>
      <c r="C47" s="111"/>
      <c r="D47" s="122"/>
      <c r="E47" s="122"/>
      <c r="F47" s="122"/>
    </row>
    <row r="48" spans="1:7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Sheet431"/>
  <dimension ref="A1:P55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85546875" style="131" customWidth="1"/>
    <col min="2" max="2" width="12.7109375" style="131" customWidth="1"/>
    <col min="3" max="3" width="1.85546875" style="131" customWidth="1"/>
    <col min="4" max="4" width="23.85546875" style="131" customWidth="1"/>
    <col min="5" max="5" width="2.28515625" style="131" customWidth="1"/>
    <col min="6" max="6" width="12.85546875" style="131" customWidth="1"/>
    <col min="7" max="7" width="8.28515625" style="131" customWidth="1"/>
    <col min="8" max="8" width="12.7109375" style="131" customWidth="1"/>
    <col min="9" max="16384" width="9.140625" style="131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1123</v>
      </c>
      <c r="G9" s="131" t="s">
        <v>3884</v>
      </c>
    </row>
    <row r="10" spans="1:8">
      <c r="A10" s="131" t="s">
        <v>3885</v>
      </c>
      <c r="F10" s="132" t="s">
        <v>1124</v>
      </c>
      <c r="G10" s="112" t="s">
        <v>3849</v>
      </c>
    </row>
    <row r="11" spans="1:8">
      <c r="A11" s="140" t="s">
        <v>3886</v>
      </c>
      <c r="F11" s="132" t="s">
        <v>1125</v>
      </c>
      <c r="G11" s="132" t="s">
        <v>1094</v>
      </c>
    </row>
    <row r="12" spans="1:8">
      <c r="A12" s="131" t="s">
        <v>3887</v>
      </c>
      <c r="F12" s="132" t="s">
        <v>1096</v>
      </c>
      <c r="G12" s="132" t="s">
        <v>1270</v>
      </c>
    </row>
    <row r="13" spans="1:8">
      <c r="A13" s="131" t="s">
        <v>3888</v>
      </c>
      <c r="G13" s="111"/>
    </row>
    <row r="14" spans="1:8">
      <c r="A14" s="131" t="s">
        <v>3889</v>
      </c>
    </row>
    <row r="16" spans="1:8" s="95" customFormat="1" ht="20.100000000000001" customHeight="1">
      <c r="A16" s="90" t="s">
        <v>1140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8" spans="1:16">
      <c r="A18" s="158"/>
      <c r="B18" s="158"/>
      <c r="C18" s="158"/>
      <c r="D18" s="243" t="s">
        <v>3845</v>
      </c>
      <c r="E18" s="243"/>
      <c r="I18" s="250"/>
    </row>
    <row r="19" spans="1:16">
      <c r="A19" s="158"/>
      <c r="B19" s="158"/>
      <c r="C19" s="158"/>
      <c r="I19" s="250"/>
      <c r="M19" s="131" t="s">
        <v>3516</v>
      </c>
      <c r="P19" s="131">
        <v>4250</v>
      </c>
    </row>
    <row r="20" spans="1:16">
      <c r="A20" s="158" t="s">
        <v>3882</v>
      </c>
      <c r="B20" s="158" t="s">
        <v>3890</v>
      </c>
      <c r="C20" s="141"/>
      <c r="D20" s="131" t="s">
        <v>3891</v>
      </c>
      <c r="H20" s="131">
        <f>9400/1.828822</f>
        <v>5139.9206702456559</v>
      </c>
      <c r="I20" s="250"/>
    </row>
    <row r="21" spans="1:16">
      <c r="B21" s="140"/>
      <c r="C21" s="140"/>
      <c r="D21" s="131" t="s">
        <v>3892</v>
      </c>
      <c r="I21" s="250"/>
    </row>
    <row r="22" spans="1:16">
      <c r="A22" s="132"/>
    </row>
    <row r="23" spans="1:16">
      <c r="A23" s="158"/>
      <c r="B23" s="141"/>
      <c r="C23" s="141"/>
      <c r="D23" s="131" t="s">
        <v>3893</v>
      </c>
    </row>
    <row r="24" spans="1:16">
      <c r="B24" s="140"/>
      <c r="C24" s="140"/>
    </row>
    <row r="25" spans="1:16">
      <c r="A25" s="158"/>
      <c r="B25" s="141"/>
      <c r="C25" s="141"/>
      <c r="D25" s="131" t="s">
        <v>2831</v>
      </c>
      <c r="H25" s="131">
        <v>20</v>
      </c>
    </row>
    <row r="26" spans="1:16">
      <c r="A26" s="158"/>
      <c r="B26" s="141"/>
      <c r="C26" s="141"/>
    </row>
    <row r="27" spans="1:16">
      <c r="A27" s="158"/>
      <c r="B27" s="158"/>
      <c r="C27" s="158"/>
      <c r="D27" s="131" t="s">
        <v>1814</v>
      </c>
      <c r="H27" s="131">
        <f>H25*6%</f>
        <v>1.2</v>
      </c>
    </row>
    <row r="28" spans="1:16">
      <c r="A28" s="158"/>
      <c r="B28" s="141"/>
      <c r="C28" s="141"/>
    </row>
    <row r="29" spans="1:16">
      <c r="B29" s="140"/>
      <c r="C29" s="140"/>
    </row>
    <row r="30" spans="1:16">
      <c r="A30" s="132"/>
    </row>
    <row r="31" spans="1:16">
      <c r="A31" s="132"/>
      <c r="B31" s="158"/>
      <c r="C31" s="158"/>
    </row>
    <row r="36" spans="1:8" ht="13.5" thickBot="1">
      <c r="H36" s="137">
        <f>SUM(H19:H35)</f>
        <v>5161.1206702456557</v>
      </c>
    </row>
    <row r="37" spans="1:8" ht="13.5" thickTop="1"/>
    <row r="38" spans="1:8" ht="20.100000000000001" customHeight="1">
      <c r="A38" s="138" t="s">
        <v>1133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Five Thousand One Hundred Sixty-One and 12/100 -----------</v>
      </c>
      <c r="C38" s="202"/>
      <c r="D38" s="139"/>
      <c r="E38" s="139"/>
      <c r="F38" s="139"/>
      <c r="G38" s="139"/>
      <c r="H38" s="139"/>
    </row>
    <row r="39" spans="1:8">
      <c r="A39" s="140" t="s">
        <v>11</v>
      </c>
    </row>
    <row r="40" spans="1:8" ht="25.5">
      <c r="A40" s="131" t="s">
        <v>10</v>
      </c>
      <c r="F40" s="265" t="s">
        <v>2894</v>
      </c>
      <c r="G40" s="266"/>
      <c r="H40" s="267"/>
    </row>
    <row r="42" spans="1:8">
      <c r="A42" s="147"/>
    </row>
    <row r="43" spans="1:8">
      <c r="D43" s="141"/>
      <c r="E43" s="141"/>
    </row>
    <row r="44" spans="1:8">
      <c r="A44" s="142"/>
      <c r="B44" s="142"/>
    </row>
    <row r="46" spans="1:8">
      <c r="A46" s="143" t="s">
        <v>8</v>
      </c>
      <c r="D46" s="143"/>
      <c r="F46" s="143" t="s">
        <v>7</v>
      </c>
      <c r="H46" s="144"/>
    </row>
    <row r="50" spans="1:8">
      <c r="A50" s="142"/>
      <c r="B50" s="142"/>
      <c r="F50" s="142"/>
      <c r="G50" s="142"/>
      <c r="H50" s="142"/>
    </row>
    <row r="51" spans="1:8" s="147" customFormat="1" ht="17.100000000000001" customHeight="1">
      <c r="A51" s="145" t="s">
        <v>2948</v>
      </c>
      <c r="B51" s="146"/>
      <c r="C51" s="146"/>
      <c r="D51" s="145"/>
      <c r="F51" s="147" t="s">
        <v>3</v>
      </c>
    </row>
    <row r="52" spans="1:8">
      <c r="F52" s="131" t="s">
        <v>2</v>
      </c>
    </row>
    <row r="53" spans="1:8">
      <c r="A53" s="145"/>
    </row>
    <row r="54" spans="1:8">
      <c r="F54" s="110" t="s">
        <v>1</v>
      </c>
    </row>
    <row r="55" spans="1:8">
      <c r="F55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89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536"/>
  <dimension ref="A1:L62"/>
  <sheetViews>
    <sheetView zoomScaleNormal="100" workbookViewId="0">
      <selection activeCell="G9" sqref="G9:G13"/>
    </sheetView>
  </sheetViews>
  <sheetFormatPr defaultRowHeight="12.75"/>
  <cols>
    <col min="1" max="1" width="16" style="111" customWidth="1"/>
    <col min="2" max="2" width="13.42578125" style="111" customWidth="1"/>
    <col min="3" max="3" width="21" style="111" customWidth="1"/>
    <col min="4" max="4" width="16.42578125" style="111" customWidth="1"/>
    <col min="5" max="5" width="9" style="111" customWidth="1"/>
    <col min="6" max="6" width="13.28515625" style="111" customWidth="1"/>
    <col min="7" max="10" width="9.140625" style="1"/>
    <col min="11" max="11" width="20" style="1" customWidth="1"/>
    <col min="12" max="16384" width="9.140625" style="1"/>
  </cols>
  <sheetData>
    <row r="1" spans="1:12" ht="15">
      <c r="A1" s="528" t="s">
        <v>26</v>
      </c>
      <c r="B1" s="528"/>
      <c r="C1" s="528"/>
      <c r="D1" s="528"/>
      <c r="E1" s="528"/>
      <c r="F1" s="528"/>
    </row>
    <row r="2" spans="1:12">
      <c r="A2" s="530" t="s">
        <v>25</v>
      </c>
      <c r="B2" s="530"/>
      <c r="C2" s="530"/>
      <c r="D2" s="530"/>
      <c r="E2" s="530"/>
      <c r="F2" s="530"/>
    </row>
    <row r="3" spans="1:12">
      <c r="A3" s="530" t="s">
        <v>1480</v>
      </c>
      <c r="B3" s="530"/>
      <c r="C3" s="530"/>
      <c r="D3" s="530"/>
      <c r="E3" s="530"/>
      <c r="F3" s="530"/>
    </row>
    <row r="4" spans="1:12">
      <c r="A4" s="530" t="s">
        <v>1684</v>
      </c>
      <c r="B4" s="530"/>
      <c r="C4" s="530"/>
      <c r="D4" s="530"/>
      <c r="E4" s="530"/>
      <c r="F4" s="530"/>
    </row>
    <row r="8" spans="1:12">
      <c r="A8" s="111" t="s">
        <v>24</v>
      </c>
      <c r="D8" s="22" t="s">
        <v>23</v>
      </c>
    </row>
    <row r="9" spans="1:12">
      <c r="D9" s="112" t="s">
        <v>1110</v>
      </c>
      <c r="E9" s="111" t="s">
        <v>3759</v>
      </c>
    </row>
    <row r="10" spans="1:12">
      <c r="A10" s="111" t="s">
        <v>3745</v>
      </c>
      <c r="D10" s="112" t="s">
        <v>1685</v>
      </c>
      <c r="E10" s="112" t="s">
        <v>3760</v>
      </c>
    </row>
    <row r="11" spans="1:12">
      <c r="A11" s="111" t="s">
        <v>3746</v>
      </c>
      <c r="D11" s="112" t="s">
        <v>1163</v>
      </c>
      <c r="E11" s="112" t="s">
        <v>1094</v>
      </c>
    </row>
    <row r="12" spans="1:12">
      <c r="A12" s="111" t="s">
        <v>3747</v>
      </c>
      <c r="D12" s="112" t="s">
        <v>1188</v>
      </c>
      <c r="E12" s="120" t="s">
        <v>1270</v>
      </c>
    </row>
    <row r="13" spans="1:12">
      <c r="A13" s="111" t="s">
        <v>3748</v>
      </c>
    </row>
    <row r="14" spans="1:12">
      <c r="A14" s="111" t="s">
        <v>3749</v>
      </c>
    </row>
    <row r="15" spans="1:12">
      <c r="I15" s="111"/>
      <c r="J15" s="111"/>
      <c r="K15" s="111"/>
      <c r="L15" s="111"/>
    </row>
    <row r="16" spans="1:12" s="15" customFormat="1" ht="20.100000000000001" customHeight="1">
      <c r="A16" s="129" t="s">
        <v>1097</v>
      </c>
      <c r="B16" s="129" t="s">
        <v>1098</v>
      </c>
      <c r="C16" s="19" t="s">
        <v>14</v>
      </c>
      <c r="D16" s="18"/>
      <c r="E16" s="17"/>
      <c r="F16" s="16" t="s">
        <v>13</v>
      </c>
      <c r="I16" s="111"/>
      <c r="J16" s="111"/>
      <c r="K16" s="111"/>
      <c r="L16" s="111"/>
    </row>
    <row r="17" spans="1:12">
      <c r="A17" s="173"/>
      <c r="I17" s="111"/>
      <c r="J17" s="111"/>
      <c r="K17" s="111"/>
      <c r="L17" s="111"/>
    </row>
    <row r="18" spans="1:12">
      <c r="C18" s="2" t="s">
        <v>3750</v>
      </c>
      <c r="I18" s="111"/>
      <c r="J18" s="111"/>
      <c r="K18" s="111"/>
      <c r="L18" s="111"/>
    </row>
    <row r="19" spans="1:12">
      <c r="A19" s="173"/>
      <c r="C19" s="2"/>
      <c r="I19" s="111"/>
      <c r="J19" s="111"/>
      <c r="K19" s="111"/>
      <c r="L19" s="111"/>
    </row>
    <row r="20" spans="1:12">
      <c r="A20" s="116" t="s">
        <v>3758</v>
      </c>
      <c r="B20" s="116"/>
      <c r="C20" s="111" t="s">
        <v>3751</v>
      </c>
      <c r="F20" s="111">
        <f>13000*0.0361538</f>
        <v>469.99939999999998</v>
      </c>
    </row>
    <row r="21" spans="1:12">
      <c r="A21" s="116"/>
      <c r="B21" s="120"/>
      <c r="C21" s="111" t="s">
        <v>3752</v>
      </c>
      <c r="I21" s="111"/>
      <c r="J21" s="111"/>
      <c r="K21" s="111"/>
      <c r="L21" s="111"/>
    </row>
    <row r="22" spans="1:12">
      <c r="A22" s="116"/>
      <c r="B22" s="120"/>
      <c r="F22" s="149"/>
      <c r="I22" s="111"/>
      <c r="J22" s="111"/>
      <c r="K22" s="111"/>
      <c r="L22" s="111"/>
    </row>
    <row r="23" spans="1:12">
      <c r="C23" s="111" t="s">
        <v>3764</v>
      </c>
      <c r="I23" s="111"/>
      <c r="J23" s="111"/>
      <c r="K23" s="111"/>
      <c r="L23" s="111"/>
    </row>
    <row r="24" spans="1:12">
      <c r="A24" s="116"/>
      <c r="B24" s="120"/>
      <c r="I24" s="111"/>
      <c r="J24" s="111"/>
      <c r="K24" s="111"/>
      <c r="L24" s="111"/>
    </row>
    <row r="25" spans="1:12">
      <c r="A25" s="116"/>
      <c r="B25" s="120"/>
      <c r="C25" s="111" t="s">
        <v>1697</v>
      </c>
      <c r="F25" s="111">
        <v>20</v>
      </c>
      <c r="I25" s="111"/>
      <c r="J25" s="111"/>
      <c r="K25" s="111"/>
      <c r="L25" s="111"/>
    </row>
    <row r="26" spans="1:12">
      <c r="I26" s="111"/>
      <c r="J26" s="111"/>
      <c r="K26" s="111"/>
      <c r="L26" s="111"/>
    </row>
    <row r="27" spans="1:12">
      <c r="A27" s="116"/>
      <c r="B27" s="116"/>
      <c r="C27" s="111" t="s">
        <v>1814</v>
      </c>
      <c r="F27" s="111">
        <v>1.2</v>
      </c>
      <c r="I27" s="111"/>
      <c r="J27" s="111"/>
      <c r="K27" s="111"/>
      <c r="L27" s="111"/>
    </row>
    <row r="28" spans="1:12">
      <c r="A28" s="116"/>
      <c r="B28" s="116"/>
      <c r="C28" s="329"/>
      <c r="I28" s="111"/>
      <c r="J28" s="111"/>
      <c r="K28" s="111"/>
      <c r="L28" s="111"/>
    </row>
    <row r="29" spans="1:12">
      <c r="A29" s="116"/>
      <c r="B29" s="116"/>
      <c r="I29" s="111"/>
      <c r="J29" s="111"/>
      <c r="K29" s="111"/>
      <c r="L29" s="111"/>
    </row>
    <row r="30" spans="1:12">
      <c r="A30" s="116"/>
      <c r="B30" s="116"/>
      <c r="I30" s="111"/>
      <c r="J30" s="111"/>
      <c r="K30" s="111"/>
      <c r="L30" s="111"/>
    </row>
    <row r="31" spans="1:12">
      <c r="A31" s="116"/>
      <c r="B31" s="116"/>
      <c r="C31" s="2"/>
      <c r="I31" s="111"/>
      <c r="J31" s="111"/>
      <c r="K31" s="111"/>
      <c r="L31" s="111"/>
    </row>
    <row r="32" spans="1:12">
      <c r="A32" s="116"/>
      <c r="B32" s="116"/>
      <c r="I32" s="111"/>
      <c r="J32" s="111"/>
      <c r="K32" s="111"/>
      <c r="L32" s="111"/>
    </row>
    <row r="33" spans="1:12">
      <c r="A33" s="116"/>
      <c r="B33" s="116"/>
      <c r="I33" s="111"/>
      <c r="J33" s="111"/>
      <c r="K33" s="111"/>
      <c r="L33" s="111"/>
    </row>
    <row r="34" spans="1:12">
      <c r="A34" s="116"/>
      <c r="B34" s="116"/>
      <c r="I34" s="111"/>
      <c r="J34" s="111"/>
      <c r="K34" s="111"/>
      <c r="L34" s="111"/>
    </row>
    <row r="35" spans="1:12">
      <c r="A35" s="173"/>
      <c r="I35" s="111"/>
      <c r="J35" s="111"/>
      <c r="K35" s="111"/>
      <c r="L35" s="111"/>
    </row>
    <row r="36" spans="1:12">
      <c r="A36" s="116"/>
      <c r="B36" s="116"/>
    </row>
    <row r="37" spans="1:12">
      <c r="A37" s="173"/>
    </row>
    <row r="38" spans="1:12" ht="13.5" thickBot="1">
      <c r="A38" s="173"/>
      <c r="F38" s="117">
        <f>SUM(F19:F37)</f>
        <v>491.19939999999997</v>
      </c>
    </row>
    <row r="39" spans="1:12" ht="13.5" thickTop="1">
      <c r="A39" s="173"/>
      <c r="F39" s="308"/>
    </row>
    <row r="40" spans="1:12" ht="20.100000000000001" customHeight="1">
      <c r="A40" s="118" t="s">
        <v>1686</v>
      </c>
      <c r="B40" s="202" t="str">
        <f>IF(OR(F38&gt;1000000,F38&lt;=0),"",IF(F38&lt;1000,"",IF(MOD(F38,1000000)&gt;=100000,INDEX(numbers,TRUNC(MOD(F38,1000000)/100000,0)+1)&amp;" Hundred","")&amp;IF(MOD(F38,100000)&gt;=20000," "&amp;INDEX(tens,TRUNC(MOD(F38,100000)/10000,0)+1)&amp;IF(MOD(MOD(F38,100000),10000)&gt;=1000,"-"&amp;INDEX(numbers,TRUNC(MOD(MOD(F38,100000),10000)/1000,0)+1),""),IF(MOD(F38,100000)&gt;=1000," "&amp;INDEX(numbers,TRUNC(MOD(F38,100000)/1000,0)+1),""))&amp;" Thousand") &amp; IF(F38&lt;1,"Zero Dollars",IF(MOD(F38,1000)&gt;=100," "&amp;INDEX(numbers,TRUNC(MOD(F38,1000)/100,0)+1)&amp;" Hundred","")&amp;IF(MOD(F38,100)&gt;=20," "&amp;INDEX(tens,TRUNC(MOD(F38,100)/10,0)+1)&amp;IF(MOD(MOD(F38,100),10)&gt;=1,"-"&amp;INDEX(numbers,TRUNC(MOD(MOD(F38,100),10),0)+1),""),IF(MOD(F38,100)&gt;=1," "&amp;INDEX(numbers,TRUNC(MOD(F38,100),0)+1),""))&amp;"") &amp; " and " &amp; IF(MOD(F38,1)&lt;0.005,"NO",ROUND(MOD(F38,1)*100,0)) &amp; "/100 -----------")</f>
        <v xml:space="preserve"> Four Hundred Ninety-One and 20/100 -----------</v>
      </c>
      <c r="C40" s="119"/>
      <c r="D40" s="261"/>
      <c r="E40" s="261"/>
      <c r="F40" s="261"/>
    </row>
    <row r="41" spans="1:12">
      <c r="A41" s="120"/>
    </row>
    <row r="42" spans="1:12" ht="25.5">
      <c r="A42" s="111" t="s">
        <v>10</v>
      </c>
      <c r="D42" s="265" t="s">
        <v>2894</v>
      </c>
      <c r="E42" s="266"/>
      <c r="F42" s="267"/>
    </row>
    <row r="43" spans="1:12">
      <c r="D43" s="309"/>
      <c r="E43" s="309"/>
      <c r="F43" s="309"/>
    </row>
    <row r="44" spans="1:12">
      <c r="D44" s="310"/>
      <c r="E44" s="311"/>
      <c r="F44" s="311"/>
    </row>
    <row r="45" spans="1:12">
      <c r="A45" s="1"/>
    </row>
    <row r="46" spans="1:12">
      <c r="A46" s="122"/>
      <c r="B46" s="122"/>
    </row>
    <row r="48" spans="1:12">
      <c r="A48" s="111" t="s">
        <v>8</v>
      </c>
      <c r="D48" s="123" t="s">
        <v>7</v>
      </c>
      <c r="F48" s="124"/>
    </row>
    <row r="52" spans="1:12">
      <c r="A52" s="122" t="s">
        <v>51</v>
      </c>
      <c r="B52" s="122"/>
      <c r="D52" s="122"/>
      <c r="E52" s="122"/>
      <c r="F52" s="122"/>
    </row>
    <row r="53" spans="1:12" s="3" customFormat="1" ht="17.100000000000001" customHeight="1">
      <c r="A53" s="111" t="s">
        <v>2948</v>
      </c>
      <c r="B53" s="125"/>
      <c r="C53" s="126"/>
      <c r="D53" s="126" t="s">
        <v>3</v>
      </c>
      <c r="E53" s="126"/>
      <c r="F53" s="126"/>
    </row>
    <row r="54" spans="1:12">
      <c r="D54" s="111" t="s">
        <v>2</v>
      </c>
    </row>
    <row r="56" spans="1:12">
      <c r="D56" s="2" t="s">
        <v>1</v>
      </c>
    </row>
    <row r="57" spans="1:12">
      <c r="D57" s="2" t="s">
        <v>0</v>
      </c>
    </row>
    <row r="62" spans="1:12" s="111" customFormat="1">
      <c r="G62" s="1"/>
      <c r="H62" s="1"/>
      <c r="I62" s="1"/>
      <c r="J62" s="1"/>
      <c r="K62" s="1"/>
      <c r="L62" s="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332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6" style="111" customWidth="1"/>
    <col min="2" max="2" width="13.42578125" style="111" customWidth="1"/>
    <col min="3" max="3" width="19.42578125" style="111" customWidth="1"/>
    <col min="4" max="4" width="14.42578125" style="111" customWidth="1"/>
    <col min="5" max="5" width="9" style="111" customWidth="1"/>
    <col min="6" max="6" width="13.28515625" style="11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A9" s="111" t="s">
        <v>3397</v>
      </c>
      <c r="D9" s="112" t="s">
        <v>1110</v>
      </c>
      <c r="E9" s="111" t="s">
        <v>4313</v>
      </c>
    </row>
    <row r="10" spans="1:6">
      <c r="A10" s="111" t="s">
        <v>3398</v>
      </c>
      <c r="D10" s="112" t="s">
        <v>1685</v>
      </c>
      <c r="E10" s="123" t="s">
        <v>4312</v>
      </c>
    </row>
    <row r="11" spans="1:6">
      <c r="D11" s="112" t="s">
        <v>1163</v>
      </c>
      <c r="E11" s="112" t="s">
        <v>1094</v>
      </c>
    </row>
    <row r="12" spans="1:6">
      <c r="D12" s="112" t="s">
        <v>1135</v>
      </c>
      <c r="E12" s="112"/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73"/>
    </row>
    <row r="18" spans="1:6">
      <c r="C18" s="2" t="s">
        <v>3907</v>
      </c>
    </row>
    <row r="19" spans="1:6">
      <c r="C19" s="2"/>
    </row>
    <row r="20" spans="1:6">
      <c r="A20" s="111" t="s">
        <v>3908</v>
      </c>
      <c r="C20" s="2" t="s">
        <v>4315</v>
      </c>
    </row>
    <row r="21" spans="1:6">
      <c r="A21" s="120" t="s">
        <v>4314</v>
      </c>
    </row>
    <row r="22" spans="1:6">
      <c r="A22" s="175"/>
      <c r="C22" s="111" t="s">
        <v>4316</v>
      </c>
      <c r="F22" s="111">
        <v>190.8</v>
      </c>
    </row>
    <row r="23" spans="1:6">
      <c r="A23" s="175"/>
    </row>
    <row r="24" spans="1:6">
      <c r="A24" s="175"/>
    </row>
    <row r="25" spans="1:6">
      <c r="A25" s="175"/>
    </row>
    <row r="27" spans="1:6">
      <c r="C27" s="2"/>
    </row>
    <row r="32" spans="1:6">
      <c r="B32" s="116"/>
    </row>
    <row r="33" spans="1:6">
      <c r="A33" s="112"/>
      <c r="B33" s="1"/>
    </row>
    <row r="34" spans="1:6">
      <c r="A34" s="173"/>
    </row>
    <row r="35" spans="1:6" ht="13.5" thickBot="1">
      <c r="A35" s="173"/>
      <c r="F35" s="117">
        <f>SUM(F20:F34)</f>
        <v>190.8</v>
      </c>
    </row>
    <row r="36" spans="1:6" ht="13.5" thickTop="1">
      <c r="A36" s="173"/>
    </row>
    <row r="37" spans="1:6" ht="20.100000000000001" customHeight="1">
      <c r="A37" s="118" t="s">
        <v>1686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Hundred Ninety and 80/100 -----------</v>
      </c>
      <c r="C37" s="119"/>
      <c r="D37" s="119"/>
      <c r="E37" s="119"/>
      <c r="F37" s="119"/>
    </row>
    <row r="38" spans="1:6">
      <c r="A38" s="120"/>
    </row>
    <row r="39" spans="1:6" ht="25.5">
      <c r="A39" s="111" t="s">
        <v>10</v>
      </c>
      <c r="D39" s="265" t="s">
        <v>2894</v>
      </c>
      <c r="E39" s="266"/>
      <c r="F39" s="267"/>
    </row>
    <row r="40" spans="1:6">
      <c r="A40" s="126"/>
    </row>
    <row r="42" spans="1:6">
      <c r="A42" s="111" t="s">
        <v>51</v>
      </c>
      <c r="C42" s="121"/>
    </row>
    <row r="43" spans="1:6">
      <c r="A43" s="122"/>
      <c r="B43" s="122"/>
    </row>
    <row r="45" spans="1:6">
      <c r="A45" s="111" t="s">
        <v>8</v>
      </c>
      <c r="D45" s="123" t="s">
        <v>7</v>
      </c>
      <c r="F45" s="124"/>
    </row>
    <row r="49" spans="1:6">
      <c r="A49" s="122" t="s">
        <v>51</v>
      </c>
      <c r="B49" s="122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51"/>
      <c r="D51" s="111" t="s">
        <v>2</v>
      </c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Sheet333">
    <pageSetUpPr fitToPage="1"/>
  </sheetPr>
  <dimension ref="A1:F54"/>
  <sheetViews>
    <sheetView topLeftCell="A4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47" t="s">
        <v>2903</v>
      </c>
    </row>
    <row r="10" spans="1:6">
      <c r="A10" s="111" t="s">
        <v>2905</v>
      </c>
      <c r="D10" s="112" t="s">
        <v>1180</v>
      </c>
      <c r="E10" s="212" t="s">
        <v>2904</v>
      </c>
    </row>
    <row r="11" spans="1:6">
      <c r="A11" s="111" t="s">
        <v>2906</v>
      </c>
      <c r="D11" s="112" t="s">
        <v>1181</v>
      </c>
      <c r="E11" s="212" t="s">
        <v>1094</v>
      </c>
    </row>
    <row r="12" spans="1:6">
      <c r="A12" s="111" t="s">
        <v>2907</v>
      </c>
      <c r="D12" s="112" t="s">
        <v>2148</v>
      </c>
      <c r="E12" s="212" t="s">
        <v>1270</v>
      </c>
    </row>
    <row r="13" spans="1:6">
      <c r="A13" s="111" t="s">
        <v>2908</v>
      </c>
    </row>
    <row r="14" spans="1:6">
      <c r="A14" s="111" t="s">
        <v>2909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2910</v>
      </c>
    </row>
    <row r="19" spans="1:6">
      <c r="C19" s="2" t="s">
        <v>2911</v>
      </c>
    </row>
    <row r="20" spans="1:6">
      <c r="C20" s="2"/>
    </row>
    <row r="21" spans="1:6">
      <c r="A21" s="111" t="s">
        <v>2912</v>
      </c>
      <c r="C21" s="111" t="s">
        <v>2913</v>
      </c>
      <c r="F21" s="111">
        <f>239200*0.0751</f>
        <v>17963.919999999998</v>
      </c>
    </row>
    <row r="22" spans="1:6">
      <c r="C22" s="111" t="s">
        <v>2914</v>
      </c>
      <c r="F22" s="111">
        <f>23920*0.0751</f>
        <v>1796.3920000000001</v>
      </c>
    </row>
    <row r="23" spans="1:6">
      <c r="C23" s="111" t="s">
        <v>2915</v>
      </c>
      <c r="F23" s="111">
        <f>28704*0.0751</f>
        <v>2155.6704</v>
      </c>
    </row>
    <row r="24" spans="1:6">
      <c r="C24" s="111" t="s">
        <v>2916</v>
      </c>
      <c r="F24" s="111">
        <f>1913.6*0.0751</f>
        <v>143.71135999999998</v>
      </c>
    </row>
    <row r="25" spans="1:6">
      <c r="A25" s="148"/>
    </row>
    <row r="26" spans="1:6">
      <c r="C26" s="111" t="s">
        <v>1697</v>
      </c>
      <c r="F26" s="111">
        <v>30</v>
      </c>
    </row>
    <row r="28" spans="1:6">
      <c r="B28" s="121"/>
      <c r="F28" s="149"/>
    </row>
    <row r="29" spans="1:6">
      <c r="C29" s="120"/>
    </row>
    <row r="30" spans="1:6">
      <c r="C30" s="120"/>
    </row>
    <row r="31" spans="1:6">
      <c r="C31" s="2"/>
    </row>
    <row r="33" spans="1:6">
      <c r="A33" s="148"/>
    </row>
    <row r="34" spans="1:6">
      <c r="A34" s="148"/>
    </row>
    <row r="35" spans="1:6" ht="13.5" thickBot="1">
      <c r="F35" s="127">
        <f>SUM(F19:F34)</f>
        <v>22089.693759999998</v>
      </c>
    </row>
    <row r="36" spans="1:6" ht="13.5" thickTop="1"/>
    <row r="37" spans="1:6" ht="20.100000000000001" customHeight="1">
      <c r="A37" s="118" t="s">
        <v>204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Twenty-Two Thousand Eighty-Nine and 69/100 -----------</v>
      </c>
      <c r="C37" s="119"/>
      <c r="D37" s="119"/>
      <c r="E37" s="119"/>
      <c r="F37" s="119"/>
    </row>
    <row r="38" spans="1:6">
      <c r="A38" s="120" t="s">
        <v>11</v>
      </c>
    </row>
    <row r="39" spans="1:6" ht="25.5">
      <c r="A39" s="126" t="s">
        <v>10</v>
      </c>
      <c r="D39" s="265" t="s">
        <v>2894</v>
      </c>
      <c r="E39" s="266"/>
      <c r="F39" s="267"/>
    </row>
    <row r="42" spans="1:6">
      <c r="A42" s="111" t="s">
        <v>52</v>
      </c>
      <c r="C42" s="121"/>
    </row>
    <row r="43" spans="1:6">
      <c r="A43" s="122"/>
      <c r="B43" s="122"/>
    </row>
    <row r="45" spans="1:6">
      <c r="A45" s="123" t="s">
        <v>8</v>
      </c>
      <c r="D45" s="123" t="s">
        <v>7</v>
      </c>
      <c r="F45" s="124"/>
    </row>
    <row r="49" spans="1:6">
      <c r="A49" s="122" t="s">
        <v>51</v>
      </c>
      <c r="B49" s="122"/>
      <c r="D49" s="122"/>
      <c r="E49" s="122"/>
      <c r="F49" s="122"/>
    </row>
    <row r="50" spans="1:6" s="126" customFormat="1" ht="17.100000000000001" customHeight="1">
      <c r="A50" s="151" t="s">
        <v>2948</v>
      </c>
      <c r="B50" s="125"/>
      <c r="D50" s="126" t="s">
        <v>3</v>
      </c>
    </row>
    <row r="51" spans="1:6">
      <c r="D51" s="111" t="s">
        <v>2</v>
      </c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266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2347</v>
      </c>
      <c r="F9" s="111"/>
    </row>
    <row r="10" spans="1:6">
      <c r="A10" s="111" t="s">
        <v>2302</v>
      </c>
      <c r="B10" s="111"/>
      <c r="C10" s="111"/>
      <c r="D10" s="112" t="s">
        <v>1162</v>
      </c>
      <c r="E10" s="112" t="s">
        <v>2346</v>
      </c>
      <c r="F10" s="111"/>
    </row>
    <row r="11" spans="1:6">
      <c r="A11" s="111" t="s">
        <v>2303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1096</v>
      </c>
      <c r="E12" s="112" t="s">
        <v>2348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B18" s="116"/>
      <c r="C18" s="2" t="s">
        <v>1099</v>
      </c>
      <c r="D18" s="111"/>
      <c r="E18" s="111"/>
      <c r="F18" s="111"/>
    </row>
    <row r="19" spans="1:6">
      <c r="A19" s="111"/>
      <c r="B19" s="111"/>
      <c r="C19" s="2" t="s">
        <v>2304</v>
      </c>
      <c r="D19" s="111"/>
      <c r="E19" s="111"/>
      <c r="F19" s="111"/>
    </row>
    <row r="20" spans="1:6">
      <c r="A20" s="173"/>
      <c r="B20" s="111"/>
      <c r="D20" s="111"/>
      <c r="E20" s="111"/>
      <c r="F20" s="111"/>
    </row>
    <row r="21" spans="1:6">
      <c r="A21" s="166" t="s">
        <v>2305</v>
      </c>
      <c r="B21" s="111"/>
      <c r="C21" s="111" t="s">
        <v>1616</v>
      </c>
      <c r="D21" s="111"/>
      <c r="E21" s="111"/>
      <c r="F21" s="111"/>
    </row>
    <row r="22" spans="1:6">
      <c r="A22" s="174"/>
      <c r="B22" s="111"/>
      <c r="C22" s="111" t="s">
        <v>2349</v>
      </c>
      <c r="D22" s="111"/>
      <c r="E22" s="111"/>
      <c r="F22" s="111">
        <v>350</v>
      </c>
    </row>
    <row r="23" spans="1:6">
      <c r="A23" s="173"/>
      <c r="B23" s="111"/>
      <c r="C23" s="111"/>
      <c r="D23" s="111"/>
      <c r="E23" s="111"/>
      <c r="F23" s="111"/>
    </row>
    <row r="25" spans="1:6">
      <c r="A25" s="174"/>
      <c r="B25" s="111"/>
      <c r="C25" s="111"/>
      <c r="D25" s="111"/>
      <c r="E25" s="111"/>
      <c r="F25" s="111"/>
    </row>
    <row r="26" spans="1:6">
      <c r="A26" s="173"/>
      <c r="B26" s="111"/>
      <c r="C26" s="167"/>
      <c r="D26" s="111"/>
      <c r="E26" s="111"/>
      <c r="F26" s="111"/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350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202" t="s">
        <v>1349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6B62-792B-424C-8A35-A555D6441938}">
  <sheetPr codeName="Sheet540"/>
  <dimension ref="A1:I59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113" customWidth="1"/>
    <col min="2" max="2" width="13.140625" style="113" customWidth="1"/>
    <col min="3" max="3" width="0.7109375" style="113" customWidth="1"/>
    <col min="4" max="4" width="16.7109375" style="113" customWidth="1"/>
    <col min="5" max="5" width="1.140625" style="113" customWidth="1"/>
    <col min="6" max="6" width="18.42578125" style="113" customWidth="1"/>
    <col min="7" max="7" width="8.140625" style="113" customWidth="1"/>
    <col min="8" max="8" width="13.28515625" style="113" customWidth="1"/>
    <col min="9" max="9" width="16.140625" style="23" customWidth="1"/>
    <col min="10" max="16384" width="9.140625" style="23"/>
  </cols>
  <sheetData>
    <row r="1" spans="1:9" ht="15" customHeight="1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9" ht="12.75" customHeight="1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9" ht="12.75" customHeight="1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9" ht="12.75" customHeight="1">
      <c r="A4" s="530" t="s">
        <v>1684</v>
      </c>
      <c r="B4" s="530"/>
      <c r="C4" s="530"/>
      <c r="D4" s="530"/>
      <c r="E4" s="530"/>
      <c r="F4" s="530"/>
      <c r="G4" s="530"/>
      <c r="H4" s="530"/>
    </row>
    <row r="5" spans="1:9" ht="12.75" customHeight="1">
      <c r="A5" s="111"/>
      <c r="B5" s="111"/>
      <c r="C5" s="111"/>
      <c r="D5" s="111"/>
      <c r="E5" s="111"/>
      <c r="F5" s="111"/>
      <c r="G5" s="111"/>
      <c r="H5" s="111"/>
    </row>
    <row r="6" spans="1:9" ht="12.75" customHeight="1">
      <c r="A6" s="111"/>
      <c r="B6" s="111"/>
      <c r="C6" s="111"/>
      <c r="D6" s="111"/>
      <c r="E6" s="111"/>
      <c r="F6" s="111"/>
      <c r="G6" s="111"/>
      <c r="H6" s="111"/>
    </row>
    <row r="7" spans="1:9" ht="12.75" customHeight="1">
      <c r="A7" s="111"/>
      <c r="B7" s="111"/>
      <c r="C7" s="111"/>
      <c r="D7" s="111"/>
      <c r="E7" s="111"/>
      <c r="F7" s="111"/>
      <c r="G7" s="111"/>
      <c r="H7" s="111"/>
    </row>
    <row r="8" spans="1:9" s="24" customFormat="1" ht="12.75" customHeight="1">
      <c r="A8" s="126" t="s">
        <v>24</v>
      </c>
      <c r="B8" s="126"/>
      <c r="C8" s="126"/>
      <c r="D8" s="126"/>
      <c r="E8" s="126"/>
      <c r="F8" s="178" t="s">
        <v>23</v>
      </c>
      <c r="G8" s="126"/>
      <c r="H8" s="126"/>
    </row>
    <row r="9" spans="1:9" s="24" customFormat="1" ht="12.75" customHeight="1">
      <c r="A9" s="126"/>
      <c r="B9" s="126"/>
      <c r="C9" s="126"/>
      <c r="D9" s="126"/>
      <c r="E9" s="126"/>
      <c r="F9" s="160" t="s">
        <v>1723</v>
      </c>
      <c r="G9" s="111" t="s">
        <v>5577</v>
      </c>
      <c r="H9" s="111"/>
    </row>
    <row r="10" spans="1:9" s="24" customFormat="1" ht="12.75" customHeight="1">
      <c r="A10" s="126" t="s">
        <v>5579</v>
      </c>
      <c r="B10" s="126"/>
      <c r="C10" s="126"/>
      <c r="D10" s="126"/>
      <c r="E10" s="126"/>
      <c r="F10" s="160" t="s">
        <v>1340</v>
      </c>
      <c r="G10" s="112" t="s">
        <v>5576</v>
      </c>
      <c r="H10" s="111"/>
    </row>
    <row r="11" spans="1:9" s="24" customFormat="1" ht="12.75" customHeight="1">
      <c r="A11" s="126" t="s">
        <v>5580</v>
      </c>
      <c r="B11" s="126"/>
      <c r="C11" s="126"/>
      <c r="D11" s="126"/>
      <c r="E11" s="126"/>
      <c r="F11" s="160" t="s">
        <v>1341</v>
      </c>
      <c r="G11" s="112" t="s">
        <v>1094</v>
      </c>
      <c r="H11" s="111"/>
    </row>
    <row r="12" spans="1:9" s="24" customFormat="1" ht="12.75" customHeight="1">
      <c r="A12" s="126" t="s">
        <v>5581</v>
      </c>
      <c r="B12" s="126"/>
      <c r="C12" s="126"/>
      <c r="D12" s="126"/>
      <c r="E12" s="126"/>
      <c r="F12" s="160" t="s">
        <v>2136</v>
      </c>
      <c r="G12" s="112" t="s">
        <v>5578</v>
      </c>
      <c r="H12" s="111"/>
    </row>
    <row r="13" spans="1:9" s="24" customFormat="1" ht="12.75" customHeight="1">
      <c r="A13" s="126" t="s">
        <v>2955</v>
      </c>
      <c r="B13" s="126"/>
      <c r="C13" s="126"/>
      <c r="D13" s="126"/>
      <c r="E13" s="126"/>
      <c r="F13" s="126"/>
      <c r="G13" s="111"/>
      <c r="H13" s="126"/>
    </row>
    <row r="14" spans="1:9" s="24" customFormat="1" ht="12.75" customHeight="1">
      <c r="B14" s="126"/>
      <c r="C14" s="126"/>
      <c r="D14" s="126"/>
      <c r="E14" s="126"/>
      <c r="F14" s="126"/>
      <c r="G14" s="126"/>
      <c r="H14" s="126"/>
    </row>
    <row r="15" spans="1:9" s="32" customFormat="1" ht="12.75" customHeight="1">
      <c r="A15" s="126"/>
      <c r="B15" s="126"/>
      <c r="C15" s="126"/>
      <c r="D15" s="126"/>
      <c r="E15" s="126"/>
      <c r="F15" s="126"/>
      <c r="G15" s="126"/>
      <c r="H15" s="126"/>
    </row>
    <row r="16" spans="1:9" s="32" customFormat="1">
      <c r="A16" s="129" t="s">
        <v>1122</v>
      </c>
      <c r="B16" s="129" t="s">
        <v>1098</v>
      </c>
      <c r="C16" s="129"/>
      <c r="D16" s="19" t="s">
        <v>14</v>
      </c>
      <c r="E16" s="19"/>
      <c r="F16" s="18"/>
      <c r="G16" s="129"/>
      <c r="H16" s="16" t="s">
        <v>13</v>
      </c>
      <c r="I16" s="179"/>
    </row>
    <row r="17" spans="1:9" s="32" customFormat="1" ht="12.75" customHeight="1">
      <c r="A17" s="180"/>
      <c r="B17" s="181"/>
      <c r="C17" s="181"/>
      <c r="D17" s="182"/>
      <c r="E17" s="182"/>
      <c r="F17" s="181"/>
      <c r="G17" s="183"/>
      <c r="H17" s="184"/>
      <c r="I17" s="179"/>
    </row>
    <row r="18" spans="1:9" s="24" customFormat="1" ht="12.75" customHeight="1">
      <c r="D18" s="15" t="s">
        <v>5582</v>
      </c>
      <c r="E18" s="15"/>
      <c r="I18" s="186"/>
    </row>
    <row r="19" spans="1:9" s="24" customFormat="1" ht="12.75" customHeight="1">
      <c r="A19" s="330"/>
      <c r="B19" s="331"/>
      <c r="C19" s="331"/>
      <c r="D19" s="15" t="s">
        <v>5583</v>
      </c>
      <c r="E19" s="126"/>
      <c r="F19" s="189"/>
      <c r="G19" s="189"/>
      <c r="H19" s="126"/>
      <c r="I19" s="186"/>
    </row>
    <row r="20" spans="1:9" s="189" customFormat="1" ht="12.75" customHeight="1">
      <c r="A20" s="330"/>
      <c r="B20" s="331"/>
      <c r="C20" s="331"/>
      <c r="D20" s="126"/>
      <c r="E20" s="126"/>
      <c r="H20" s="126"/>
    </row>
    <row r="21" spans="1:9" s="189" customFormat="1" ht="12.75" customHeight="1">
      <c r="A21" s="426" t="s">
        <v>11</v>
      </c>
      <c r="B21" s="255" t="s">
        <v>5584</v>
      </c>
      <c r="D21" s="126" t="s">
        <v>5585</v>
      </c>
      <c r="E21" s="126"/>
      <c r="F21" s="126"/>
      <c r="G21" s="126"/>
      <c r="H21" s="126">
        <v>2264.16</v>
      </c>
    </row>
    <row r="22" spans="1:9" s="24" customFormat="1" ht="12.75" customHeight="1">
      <c r="A22" s="429"/>
      <c r="B22" s="198"/>
      <c r="C22" s="198"/>
      <c r="D22" s="126" t="s">
        <v>5175</v>
      </c>
      <c r="E22" s="126"/>
      <c r="F22" s="126"/>
      <c r="G22" s="126"/>
      <c r="H22" s="126">
        <v>135.84</v>
      </c>
      <c r="I22" s="189"/>
    </row>
    <row r="23" spans="1:9" s="24" customFormat="1" ht="12.75" customHeight="1">
      <c r="A23" s="429"/>
      <c r="B23" s="198"/>
      <c r="C23" s="198"/>
      <c r="D23" s="126"/>
      <c r="E23" s="126"/>
      <c r="F23" s="126"/>
      <c r="G23" s="126"/>
      <c r="H23" s="126"/>
      <c r="I23" s="189"/>
    </row>
    <row r="24" spans="1:9" s="189" customFormat="1" ht="12.75" customHeight="1">
      <c r="A24" s="429"/>
      <c r="B24" s="198"/>
      <c r="C24" s="198"/>
      <c r="D24" s="126"/>
      <c r="E24" s="126"/>
      <c r="F24" s="126"/>
      <c r="G24" s="126"/>
      <c r="H24" s="126"/>
    </row>
    <row r="25" spans="1:9" s="113" customFormat="1" ht="12.75" customHeight="1">
      <c r="A25" s="429"/>
      <c r="B25" s="198"/>
      <c r="C25" s="198"/>
      <c r="D25" s="126"/>
      <c r="E25" s="126"/>
      <c r="F25" s="126"/>
      <c r="G25" s="126"/>
      <c r="H25" s="126"/>
    </row>
    <row r="26" spans="1:9" s="113" customFormat="1" ht="12.75" customHeight="1">
      <c r="A26" s="429"/>
      <c r="B26" s="198"/>
      <c r="C26" s="197"/>
      <c r="D26" s="126"/>
      <c r="E26" s="126"/>
      <c r="F26" s="126"/>
      <c r="G26" s="126"/>
      <c r="H26" s="126"/>
    </row>
    <row r="27" spans="1:9" s="113" customFormat="1" ht="12.75" customHeight="1">
      <c r="A27" s="429"/>
      <c r="B27" s="198"/>
      <c r="C27" s="197"/>
      <c r="D27" s="126"/>
      <c r="E27" s="126"/>
      <c r="F27" s="126"/>
      <c r="G27" s="126"/>
      <c r="H27" s="126"/>
    </row>
    <row r="28" spans="1:9" s="113" customFormat="1" ht="12.75" customHeight="1">
      <c r="A28" s="429"/>
      <c r="B28" s="197"/>
      <c r="C28" s="197"/>
      <c r="D28" s="126"/>
      <c r="E28" s="126"/>
      <c r="F28" s="126"/>
      <c r="G28" s="126"/>
      <c r="H28" s="126"/>
    </row>
    <row r="29" spans="1:9" ht="12.75" customHeight="1">
      <c r="A29" s="430"/>
      <c r="B29" s="197"/>
      <c r="C29" s="197"/>
      <c r="D29" s="126"/>
      <c r="E29" s="126"/>
      <c r="F29" s="126"/>
      <c r="G29" s="126"/>
      <c r="H29" s="126"/>
      <c r="I29" s="113"/>
    </row>
    <row r="30" spans="1:9" ht="12.75" customHeight="1">
      <c r="A30" s="430"/>
      <c r="B30" s="197"/>
      <c r="C30" s="197"/>
      <c r="D30" s="126"/>
      <c r="E30" s="126"/>
      <c r="F30" s="126"/>
      <c r="G30" s="126"/>
      <c r="H30" s="126"/>
      <c r="I30" s="113"/>
    </row>
    <row r="31" spans="1:9" ht="12.75" customHeight="1">
      <c r="A31" s="430"/>
      <c r="B31" s="197"/>
      <c r="C31" s="197"/>
      <c r="D31" s="126"/>
      <c r="E31" s="126"/>
      <c r="F31" s="126"/>
      <c r="G31" s="126"/>
      <c r="H31" s="126"/>
      <c r="I31" s="113"/>
    </row>
    <row r="32" spans="1:9" ht="12.75" customHeight="1">
      <c r="A32" s="428"/>
      <c r="B32" s="427"/>
      <c r="C32" s="427"/>
      <c r="D32" s="126"/>
      <c r="E32" s="126"/>
      <c r="F32" s="126"/>
      <c r="G32" s="126"/>
      <c r="H32" s="126"/>
      <c r="I32" s="113"/>
    </row>
    <row r="33" spans="1:9" ht="12.75" customHeight="1">
      <c r="A33" s="330"/>
      <c r="B33" s="331"/>
      <c r="C33" s="331"/>
      <c r="D33" s="126"/>
      <c r="E33" s="126"/>
      <c r="F33" s="126"/>
      <c r="G33" s="126"/>
      <c r="H33" s="126"/>
      <c r="I33" s="113"/>
    </row>
    <row r="34" spans="1:9" s="24" customFormat="1" ht="12.75" customHeight="1">
      <c r="A34" s="187"/>
      <c r="B34" s="151"/>
      <c r="C34" s="151"/>
      <c r="D34" s="126"/>
      <c r="E34" s="126"/>
      <c r="F34" s="126"/>
      <c r="G34" s="126"/>
      <c r="H34" s="126"/>
      <c r="I34" s="189"/>
    </row>
    <row r="35" spans="1:9" s="24" customFormat="1" ht="15.75" customHeight="1" thickBot="1">
      <c r="A35" s="188"/>
      <c r="B35" s="189"/>
      <c r="C35" s="189"/>
      <c r="D35" s="189"/>
      <c r="E35" s="189"/>
      <c r="F35" s="189"/>
      <c r="G35" s="189"/>
      <c r="H35" s="259">
        <f>SUM(H18:H34)</f>
        <v>2400</v>
      </c>
      <c r="I35" s="189"/>
    </row>
    <row r="36" spans="1:9" s="24" customFormat="1" ht="12.75" customHeight="1" thickTop="1">
      <c r="A36" s="188"/>
      <c r="B36" s="189"/>
      <c r="C36" s="189"/>
      <c r="D36" s="189"/>
      <c r="E36" s="189"/>
      <c r="F36" s="189"/>
      <c r="G36" s="189"/>
      <c r="H36" s="189"/>
      <c r="I36" s="186"/>
    </row>
    <row r="37" spans="1:9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Thousand Four Hundred and NO/100 -----------</v>
      </c>
      <c r="C37" s="202"/>
      <c r="D37" s="191"/>
      <c r="E37" s="191"/>
      <c r="F37" s="191"/>
      <c r="G37" s="191"/>
      <c r="H37" s="191"/>
    </row>
    <row r="38" spans="1:9" ht="12.75" customHeight="1">
      <c r="A38" s="192"/>
    </row>
    <row r="39" spans="1:9" ht="27" customHeight="1">
      <c r="A39" s="111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9" ht="12.75" customHeight="1">
      <c r="A40" s="111"/>
      <c r="B40" s="111"/>
      <c r="C40" s="111"/>
      <c r="D40" s="111"/>
      <c r="E40" s="111"/>
      <c r="F40" s="111"/>
      <c r="G40" s="111"/>
      <c r="H40" s="111"/>
    </row>
    <row r="41" spans="1:9" ht="12.75" customHeight="1">
      <c r="A41" s="111"/>
      <c r="B41" s="111"/>
      <c r="C41" s="111"/>
      <c r="D41" s="111"/>
      <c r="E41" s="111"/>
      <c r="F41" s="111"/>
      <c r="G41" s="111"/>
      <c r="H41" s="111"/>
    </row>
    <row r="42" spans="1:9">
      <c r="A42" s="50"/>
      <c r="B42" s="111"/>
      <c r="C42" s="111"/>
      <c r="D42" s="111"/>
      <c r="E42" s="111"/>
      <c r="F42" s="309"/>
      <c r="G42" s="309"/>
      <c r="H42" s="309"/>
    </row>
    <row r="43" spans="1:9">
      <c r="A43" s="150"/>
      <c r="B43" s="122"/>
      <c r="C43" s="111"/>
      <c r="D43" s="111"/>
      <c r="E43" s="111"/>
      <c r="F43" s="310"/>
      <c r="G43" s="311"/>
      <c r="H43" s="311"/>
    </row>
    <row r="44" spans="1:9" ht="12.75" customHeight="1">
      <c r="A44" s="50"/>
      <c r="B44" s="50"/>
      <c r="C44" s="50"/>
      <c r="D44" s="111"/>
      <c r="E44" s="111"/>
      <c r="F44" s="111"/>
      <c r="G44" s="111"/>
      <c r="H44" s="124"/>
    </row>
    <row r="45" spans="1:9" ht="12.75" customHeight="1">
      <c r="A45" s="123" t="s">
        <v>8</v>
      </c>
      <c r="B45" s="111"/>
      <c r="C45" s="111"/>
      <c r="D45" s="123"/>
      <c r="E45" s="111"/>
      <c r="F45" s="123" t="s">
        <v>7</v>
      </c>
      <c r="G45" s="111"/>
      <c r="H45" s="111"/>
    </row>
    <row r="46" spans="1:9" ht="12.75" customHeight="1">
      <c r="A46" s="50"/>
      <c r="B46" s="111"/>
      <c r="C46" s="111"/>
      <c r="D46" s="50"/>
      <c r="E46" s="111"/>
      <c r="G46" s="111"/>
      <c r="H46" s="111"/>
    </row>
    <row r="47" spans="1:9" ht="12.75" customHeight="1">
      <c r="A47" s="123"/>
      <c r="B47" s="111"/>
      <c r="C47" s="111"/>
      <c r="D47" s="123"/>
      <c r="E47" s="111"/>
      <c r="F47" s="111"/>
      <c r="G47" s="111"/>
      <c r="H47" s="111"/>
    </row>
    <row r="48" spans="1:9" ht="12.75" customHeight="1">
      <c r="A48" s="123"/>
      <c r="B48" s="111"/>
      <c r="C48" s="111"/>
      <c r="D48" s="123"/>
      <c r="E48" s="111"/>
      <c r="F48" s="111"/>
      <c r="G48" s="111"/>
      <c r="H48" s="111"/>
    </row>
    <row r="49" spans="1:8" s="24" customFormat="1" ht="12.75" customHeight="1">
      <c r="A49" s="123"/>
      <c r="B49" s="111"/>
      <c r="C49" s="111"/>
      <c r="D49" s="123"/>
      <c r="E49" s="111"/>
      <c r="F49" s="111"/>
      <c r="G49" s="126"/>
      <c r="H49" s="126"/>
    </row>
    <row r="50" spans="1:8" ht="12.75" customHeight="1">
      <c r="A50" s="150"/>
      <c r="B50" s="122"/>
      <c r="C50" s="111"/>
      <c r="D50" s="123"/>
      <c r="E50" s="111"/>
      <c r="F50" s="122"/>
      <c r="G50" s="122"/>
      <c r="H50" s="122"/>
    </row>
    <row r="51" spans="1:8">
      <c r="A51" s="123" t="s">
        <v>2948</v>
      </c>
      <c r="B51" s="125"/>
      <c r="C51" s="125"/>
      <c r="D51" s="123"/>
      <c r="E51" s="126"/>
      <c r="F51" s="126" t="s">
        <v>3</v>
      </c>
      <c r="G51" s="111"/>
      <c r="H51" s="111"/>
    </row>
    <row r="52" spans="1:8">
      <c r="A52" s="123"/>
      <c r="B52" s="111"/>
      <c r="C52" s="111"/>
      <c r="D52" s="123"/>
      <c r="E52" s="111"/>
      <c r="F52" s="111" t="s">
        <v>2</v>
      </c>
      <c r="G52" s="111"/>
      <c r="H52" s="111"/>
    </row>
    <row r="53" spans="1:8" ht="12.75" customHeight="1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2" t="s">
        <v>1</v>
      </c>
      <c r="G54" s="111"/>
      <c r="H54" s="111"/>
    </row>
    <row r="55" spans="1:8">
      <c r="A55" s="111"/>
      <c r="B55" s="111"/>
      <c r="C55" s="111"/>
      <c r="D55" s="111"/>
      <c r="E55" s="111"/>
      <c r="F55" s="2" t="s">
        <v>0</v>
      </c>
      <c r="G55" s="111"/>
      <c r="H55" s="111"/>
    </row>
    <row r="56" spans="1:8" ht="12.75" customHeight="1">
      <c r="A56" s="111"/>
      <c r="B56" s="111"/>
      <c r="C56" s="111"/>
      <c r="D56" s="111"/>
      <c r="E56" s="111"/>
      <c r="F56" s="111"/>
      <c r="G56" s="111"/>
      <c r="H56" s="111"/>
    </row>
    <row r="57" spans="1:8" ht="12.75" customHeight="1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Sheet236">
    <pageSetUpPr fitToPage="1"/>
  </sheetPr>
  <dimension ref="A1:G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2153</v>
      </c>
      <c r="F9" s="111"/>
    </row>
    <row r="10" spans="1:6">
      <c r="A10" s="111" t="s">
        <v>2019</v>
      </c>
      <c r="B10" s="111"/>
      <c r="C10" s="111"/>
      <c r="D10" s="112" t="s">
        <v>1162</v>
      </c>
      <c r="E10" s="112" t="s">
        <v>2147</v>
      </c>
      <c r="F10" s="111"/>
    </row>
    <row r="11" spans="1:6">
      <c r="A11" s="111" t="s">
        <v>2020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1135</v>
      </c>
      <c r="E12" s="112" t="s">
        <v>2154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/>
      <c r="D18" s="111"/>
      <c r="E18" s="111"/>
      <c r="F18" s="111"/>
    </row>
    <row r="19" spans="1:7">
      <c r="A19" s="111"/>
      <c r="B19" s="111"/>
      <c r="C19" s="2" t="s">
        <v>1099</v>
      </c>
      <c r="D19" s="111"/>
      <c r="E19" s="111"/>
      <c r="F19" s="111"/>
      <c r="G19" s="111"/>
    </row>
    <row r="20" spans="1:7">
      <c r="A20" s="173"/>
      <c r="B20" s="111"/>
      <c r="C20" s="2" t="s">
        <v>2021</v>
      </c>
      <c r="D20" s="111"/>
      <c r="E20" s="111"/>
      <c r="F20" s="111"/>
      <c r="G20" s="111"/>
    </row>
    <row r="21" spans="1:7">
      <c r="A21" s="111"/>
      <c r="B21" s="111"/>
      <c r="C21" s="111"/>
      <c r="D21" s="111"/>
      <c r="E21" s="111"/>
      <c r="F21" s="111"/>
      <c r="G21" s="111"/>
    </row>
    <row r="22" spans="1:7">
      <c r="A22" s="166" t="s">
        <v>2018</v>
      </c>
      <c r="B22" s="111"/>
      <c r="C22" s="111" t="s">
        <v>1616</v>
      </c>
      <c r="D22" s="111"/>
      <c r="E22" s="111"/>
      <c r="F22" s="111"/>
      <c r="G22" s="111"/>
    </row>
    <row r="23" spans="1:7">
      <c r="A23" s="174"/>
      <c r="B23" s="111"/>
      <c r="C23" s="111" t="s">
        <v>2151</v>
      </c>
      <c r="D23" s="111"/>
      <c r="E23" s="111"/>
      <c r="F23" s="111">
        <v>45.2</v>
      </c>
      <c r="G23" s="111"/>
    </row>
    <row r="24" spans="1:7">
      <c r="A24" s="173"/>
      <c r="B24" s="111"/>
      <c r="C24" s="111"/>
      <c r="D24" s="111"/>
      <c r="E24" s="111"/>
      <c r="F24" s="111"/>
      <c r="G24" s="111"/>
    </row>
    <row r="25" spans="1:7">
      <c r="A25" s="174"/>
      <c r="B25" s="111"/>
      <c r="C25" s="111"/>
      <c r="D25" s="111"/>
      <c r="E25" s="111"/>
      <c r="F25" s="111"/>
      <c r="G25" s="111"/>
    </row>
    <row r="26" spans="1:7">
      <c r="A26" s="173"/>
      <c r="B26" s="111"/>
      <c r="C26" s="167"/>
      <c r="D26" s="111"/>
      <c r="E26" s="111"/>
      <c r="F26" s="111"/>
      <c r="G26" s="111"/>
    </row>
    <row r="27" spans="1:7">
      <c r="A27" s="173"/>
      <c r="B27" s="111"/>
      <c r="C27" s="111"/>
      <c r="D27" s="111"/>
      <c r="E27" s="111"/>
      <c r="F27" s="111"/>
      <c r="G27" s="111"/>
    </row>
    <row r="28" spans="1:7">
      <c r="A28" s="116"/>
      <c r="B28" s="120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1"/>
      <c r="B32" s="111"/>
      <c r="C32" s="111"/>
      <c r="D32" s="111"/>
      <c r="E32" s="111"/>
      <c r="G32" s="111"/>
    </row>
    <row r="33" spans="1:7" ht="13.5" thickBot="1">
      <c r="A33" s="111"/>
      <c r="B33" s="111"/>
      <c r="C33" s="111"/>
      <c r="D33" s="111"/>
      <c r="E33" s="111"/>
      <c r="F33" s="117">
        <f>SUM(F20:F32)</f>
        <v>45.2</v>
      </c>
      <c r="G33" s="111"/>
    </row>
    <row r="34" spans="1:7" ht="13.5" thickTop="1">
      <c r="A34" s="111"/>
      <c r="B34" s="111"/>
      <c r="C34" s="111"/>
      <c r="D34" s="111"/>
      <c r="E34" s="111"/>
      <c r="F34" s="111"/>
      <c r="G34" s="111"/>
    </row>
    <row r="35" spans="1:7" ht="20.100000000000001" customHeight="1">
      <c r="A35" s="118" t="s">
        <v>1133</v>
      </c>
      <c r="B35" s="118" t="s">
        <v>2152</v>
      </c>
      <c r="C35" s="119"/>
      <c r="D35" s="119"/>
      <c r="E35" s="119"/>
      <c r="F35" s="119"/>
      <c r="G35" s="111"/>
    </row>
    <row r="36" spans="1:7">
      <c r="A36" s="120" t="s">
        <v>11</v>
      </c>
      <c r="B36" s="111"/>
      <c r="C36" s="111"/>
      <c r="D36" s="111"/>
      <c r="E36" s="111"/>
      <c r="F36" s="111"/>
    </row>
    <row r="37" spans="1:7">
      <c r="A37" s="111" t="s">
        <v>10</v>
      </c>
      <c r="B37" s="111"/>
      <c r="C37" s="111"/>
      <c r="D37" s="111"/>
      <c r="E37" s="111"/>
      <c r="F37" s="111"/>
    </row>
    <row r="38" spans="1:7">
      <c r="A38" s="111"/>
      <c r="B38" s="111"/>
      <c r="C38" s="111"/>
      <c r="D38" s="111"/>
      <c r="E38" s="111"/>
      <c r="F38" s="111"/>
    </row>
    <row r="39" spans="1:7" ht="25.5">
      <c r="A39" s="126"/>
      <c r="B39" s="111"/>
      <c r="C39" s="111"/>
      <c r="D39" s="265" t="s">
        <v>2894</v>
      </c>
      <c r="E39" s="266"/>
      <c r="F39" s="267"/>
    </row>
    <row r="40" spans="1:7">
      <c r="A40" s="111"/>
      <c r="B40" s="111"/>
      <c r="C40" s="121"/>
      <c r="D40" s="111"/>
      <c r="E40" s="111"/>
      <c r="F40" s="111"/>
    </row>
    <row r="41" spans="1:7">
      <c r="A41" s="122"/>
      <c r="B41" s="122"/>
      <c r="C41" s="111"/>
      <c r="D41" s="111"/>
      <c r="E41" s="111"/>
      <c r="F41" s="111"/>
    </row>
    <row r="42" spans="1:7">
      <c r="B42" s="111"/>
      <c r="C42" s="111"/>
      <c r="D42" s="111"/>
      <c r="E42" s="111"/>
      <c r="F42" s="111"/>
    </row>
    <row r="43" spans="1:7">
      <c r="A43" s="123" t="s">
        <v>8</v>
      </c>
      <c r="C43" s="111"/>
      <c r="D43" s="123" t="s">
        <v>7</v>
      </c>
      <c r="E43" s="111"/>
      <c r="F43" s="124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11"/>
      <c r="D45" s="111"/>
      <c r="E45" s="111"/>
      <c r="F45" s="111"/>
    </row>
    <row r="46" spans="1:7">
      <c r="A46" s="111"/>
      <c r="B46" s="111"/>
      <c r="C46" s="111"/>
      <c r="D46" s="111"/>
      <c r="E46" s="111"/>
      <c r="F46" s="111"/>
    </row>
    <row r="47" spans="1:7">
      <c r="A47" s="122"/>
      <c r="B47" s="122"/>
      <c r="C47" s="111"/>
      <c r="D47" s="122"/>
      <c r="E47" s="122"/>
      <c r="F47" s="122"/>
    </row>
    <row r="48" spans="1:7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Sheet237">
    <pageSetUpPr fitToPage="1"/>
  </sheetPr>
  <dimension ref="A1:G55"/>
  <sheetViews>
    <sheetView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7.42578125" style="227" customWidth="1"/>
    <col min="3" max="3" width="19.85546875" style="227" customWidth="1"/>
    <col min="4" max="4" width="13.140625" style="227" customWidth="1"/>
    <col min="5" max="5" width="8.140625" style="227" customWidth="1"/>
    <col min="6" max="6" width="13.28515625" style="227" customWidth="1"/>
    <col min="7" max="7" width="16.140625" style="209" customWidth="1"/>
    <col min="8" max="16384" width="9.140625" style="209"/>
  </cols>
  <sheetData>
    <row r="1" spans="1:7" ht="15" customHeight="1">
      <c r="A1" s="531" t="s">
        <v>26</v>
      </c>
      <c r="B1" s="531"/>
      <c r="C1" s="531"/>
      <c r="D1" s="531"/>
      <c r="E1" s="531"/>
      <c r="F1" s="531"/>
    </row>
    <row r="2" spans="1:7" ht="12.75" customHeight="1">
      <c r="A2" s="532" t="s">
        <v>25</v>
      </c>
      <c r="B2" s="532"/>
      <c r="C2" s="532"/>
      <c r="D2" s="532"/>
      <c r="E2" s="532"/>
      <c r="F2" s="532"/>
    </row>
    <row r="3" spans="1:7" ht="12.75" customHeight="1">
      <c r="A3" s="532" t="s">
        <v>1480</v>
      </c>
      <c r="B3" s="532"/>
      <c r="C3" s="532"/>
      <c r="D3" s="532"/>
      <c r="E3" s="532"/>
      <c r="F3" s="532"/>
    </row>
    <row r="4" spans="1:7" ht="12.75" customHeight="1">
      <c r="A4" s="532" t="s">
        <v>1684</v>
      </c>
      <c r="B4" s="532"/>
      <c r="C4" s="532"/>
      <c r="D4" s="532"/>
      <c r="E4" s="532"/>
      <c r="F4" s="532"/>
    </row>
    <row r="5" spans="1:7" ht="12.75" customHeight="1">
      <c r="A5" s="131"/>
      <c r="B5" s="131"/>
      <c r="C5" s="131"/>
      <c r="D5" s="131"/>
      <c r="E5" s="131"/>
      <c r="F5" s="131"/>
    </row>
    <row r="6" spans="1:7" ht="12.75" customHeight="1">
      <c r="A6" s="131"/>
      <c r="B6" s="131"/>
      <c r="C6" s="131"/>
      <c r="D6" s="131"/>
      <c r="E6" s="131"/>
      <c r="F6" s="131"/>
    </row>
    <row r="7" spans="1:7" ht="12.75" customHeight="1">
      <c r="A7" s="131"/>
      <c r="B7" s="131"/>
      <c r="C7" s="131"/>
      <c r="D7" s="131"/>
      <c r="E7" s="131"/>
      <c r="F7" s="131"/>
    </row>
    <row r="8" spans="1:7" s="211" customFormat="1" ht="12.75" customHeight="1">
      <c r="A8" s="147" t="s">
        <v>24</v>
      </c>
      <c r="B8" s="147"/>
      <c r="C8" s="147"/>
      <c r="D8" s="210" t="s">
        <v>23</v>
      </c>
      <c r="E8" s="147"/>
      <c r="F8" s="147"/>
    </row>
    <row r="9" spans="1:7" s="211" customFormat="1" ht="12.75" customHeight="1">
      <c r="A9" s="147"/>
      <c r="B9" s="147"/>
      <c r="C9" s="147"/>
      <c r="D9" s="212" t="s">
        <v>1723</v>
      </c>
      <c r="E9" s="126" t="s">
        <v>2158</v>
      </c>
      <c r="F9" s="131"/>
    </row>
    <row r="10" spans="1:7" s="211" customFormat="1" ht="12.75" customHeight="1">
      <c r="A10" s="147" t="s">
        <v>2137</v>
      </c>
      <c r="B10" s="147"/>
      <c r="C10" s="147"/>
      <c r="D10" s="212" t="s">
        <v>1340</v>
      </c>
      <c r="E10" s="160" t="s">
        <v>2156</v>
      </c>
      <c r="F10" s="131"/>
    </row>
    <row r="11" spans="1:7" s="211" customFormat="1" ht="12.75" customHeight="1">
      <c r="A11" s="147" t="s">
        <v>2138</v>
      </c>
      <c r="B11" s="147"/>
      <c r="C11" s="147"/>
      <c r="D11" s="212" t="s">
        <v>1341</v>
      </c>
      <c r="E11" s="160" t="s">
        <v>1094</v>
      </c>
      <c r="F11" s="131"/>
    </row>
    <row r="12" spans="1:7" s="211" customFormat="1" ht="12.75" customHeight="1">
      <c r="A12" s="147" t="s">
        <v>2139</v>
      </c>
      <c r="B12" s="147"/>
      <c r="C12" s="147"/>
      <c r="D12" s="212" t="s">
        <v>2136</v>
      </c>
      <c r="E12" s="160" t="s">
        <v>2159</v>
      </c>
      <c r="F12" s="131"/>
    </row>
    <row r="13" spans="1:7" s="211" customFormat="1" ht="12.75" customHeight="1">
      <c r="A13" s="147" t="s">
        <v>2140</v>
      </c>
      <c r="B13" s="147"/>
      <c r="C13" s="147"/>
      <c r="D13" s="147"/>
      <c r="E13" s="131"/>
      <c r="F13" s="147"/>
    </row>
    <row r="14" spans="1:7" s="211" customFormat="1" ht="12.75" customHeight="1">
      <c r="A14" s="147" t="s">
        <v>2141</v>
      </c>
      <c r="B14" s="147"/>
      <c r="C14" s="147"/>
      <c r="D14" s="147"/>
      <c r="E14" s="147"/>
      <c r="F14" s="147"/>
    </row>
    <row r="15" spans="1:7" s="213" customFormat="1" ht="12.75" customHeight="1">
      <c r="A15" s="147"/>
      <c r="B15" s="147"/>
      <c r="C15" s="147"/>
      <c r="D15" s="147"/>
      <c r="E15" s="147"/>
      <c r="F15" s="147"/>
    </row>
    <row r="16" spans="1:7" s="213" customFormat="1">
      <c r="A16" s="91" t="s">
        <v>1122</v>
      </c>
      <c r="B16" s="91" t="s">
        <v>1098</v>
      </c>
      <c r="C16" s="92" t="s">
        <v>14</v>
      </c>
      <c r="D16" s="90"/>
      <c r="E16" s="91"/>
      <c r="F16" s="94" t="s">
        <v>13</v>
      </c>
      <c r="G16" s="214"/>
    </row>
    <row r="17" spans="1:7" s="213" customFormat="1" ht="12.75" customHeight="1">
      <c r="A17" s="215"/>
      <c r="B17" s="216"/>
      <c r="C17" s="217"/>
      <c r="D17" s="216"/>
      <c r="E17" s="218"/>
      <c r="F17" s="219"/>
      <c r="G17" s="214"/>
    </row>
    <row r="18" spans="1:7" s="211" customFormat="1" ht="12.75" customHeight="1">
      <c r="A18" s="220"/>
      <c r="B18" s="145"/>
      <c r="C18" s="95" t="s">
        <v>2160</v>
      </c>
      <c r="D18" s="147"/>
      <c r="E18" s="147"/>
      <c r="F18" s="147"/>
      <c r="G18" s="221"/>
    </row>
    <row r="19" spans="1:7" s="211" customFormat="1" ht="12.75" customHeight="1">
      <c r="A19" s="220"/>
      <c r="B19" s="145"/>
      <c r="C19" s="147"/>
      <c r="D19" s="147"/>
      <c r="E19" s="147"/>
      <c r="F19" s="147"/>
      <c r="G19" s="221"/>
    </row>
    <row r="20" spans="1:7" s="224" customFormat="1" ht="12.75" customHeight="1">
      <c r="A20" s="222" t="s">
        <v>2157</v>
      </c>
      <c r="B20" s="223"/>
      <c r="C20" s="147" t="s">
        <v>2161</v>
      </c>
      <c r="F20" s="147">
        <v>80</v>
      </c>
    </row>
    <row r="21" spans="1:7" s="224" customFormat="1" ht="12.75" customHeight="1">
      <c r="A21" s="225"/>
      <c r="B21" s="223"/>
      <c r="C21" s="147" t="s">
        <v>2142</v>
      </c>
      <c r="D21" s="147"/>
      <c r="E21" s="147"/>
      <c r="F21" s="147"/>
    </row>
    <row r="22" spans="1:7" s="211" customFormat="1" ht="12.75" customHeight="1">
      <c r="A22" s="222"/>
      <c r="B22" s="223"/>
      <c r="C22" s="147"/>
      <c r="D22" s="224"/>
      <c r="E22" s="224"/>
      <c r="F22" s="147"/>
      <c r="G22" s="221"/>
    </row>
    <row r="23" spans="1:7" s="211" customFormat="1" ht="12.75" customHeight="1">
      <c r="A23" s="225"/>
      <c r="B23" s="223"/>
      <c r="C23" s="226"/>
      <c r="D23" s="147"/>
      <c r="E23" s="147"/>
      <c r="F23" s="147"/>
      <c r="G23" s="221"/>
    </row>
    <row r="24" spans="1:7" s="224" customFormat="1" ht="12.75" customHeight="1">
      <c r="A24" s="222"/>
      <c r="B24" s="223"/>
      <c r="C24" s="147"/>
      <c r="F24" s="147"/>
    </row>
    <row r="25" spans="1:7" s="224" customFormat="1" ht="12.75" customHeight="1">
      <c r="A25" s="222"/>
      <c r="B25" s="223"/>
      <c r="C25" s="147"/>
      <c r="D25" s="147"/>
      <c r="E25" s="147"/>
      <c r="F25" s="147"/>
    </row>
    <row r="26" spans="1:7" s="227" customFormat="1" ht="12.75" customHeight="1">
      <c r="A26" s="225"/>
      <c r="B26" s="223"/>
      <c r="C26" s="226"/>
      <c r="D26" s="131"/>
      <c r="E26" s="131"/>
      <c r="F26" s="131"/>
    </row>
    <row r="27" spans="1:7" s="227" customFormat="1" ht="12.75" customHeight="1">
      <c r="A27" s="222"/>
      <c r="B27" s="223"/>
      <c r="C27" s="147"/>
      <c r="D27" s="131"/>
      <c r="E27" s="131"/>
      <c r="F27" s="131"/>
    </row>
    <row r="28" spans="1:7" ht="12.75" customHeight="1">
      <c r="A28" s="222"/>
      <c r="B28" s="145"/>
      <c r="C28" s="147"/>
      <c r="D28" s="131"/>
      <c r="E28" s="131"/>
      <c r="F28" s="131"/>
    </row>
    <row r="29" spans="1:7" s="211" customFormat="1" ht="12.75" customHeight="1">
      <c r="A29" s="228"/>
      <c r="B29" s="228"/>
      <c r="C29" s="147"/>
      <c r="D29" s="147"/>
      <c r="E29" s="147"/>
      <c r="F29" s="147"/>
      <c r="G29" s="221"/>
    </row>
    <row r="30" spans="1:7" s="211" customFormat="1" ht="12.75" customHeight="1">
      <c r="A30" s="222"/>
      <c r="B30" s="145"/>
      <c r="C30" s="147"/>
      <c r="D30" s="147"/>
      <c r="E30" s="147"/>
      <c r="F30" s="147"/>
      <c r="G30" s="221"/>
    </row>
    <row r="31" spans="1:7" s="211" customFormat="1" ht="12.75" customHeight="1">
      <c r="A31" s="225"/>
      <c r="B31" s="145"/>
      <c r="C31" s="147"/>
      <c r="D31" s="147"/>
      <c r="E31" s="147"/>
      <c r="F31" s="147"/>
      <c r="G31" s="221"/>
    </row>
    <row r="32" spans="1:7" s="211" customFormat="1" ht="15.75" customHeight="1">
      <c r="A32" s="229"/>
      <c r="B32" s="224"/>
      <c r="C32" s="224"/>
      <c r="D32" s="224"/>
      <c r="E32" s="224"/>
      <c r="G32" s="221"/>
    </row>
    <row r="33" spans="1:7" s="211" customFormat="1" ht="12.75" customHeight="1" thickBot="1">
      <c r="A33" s="229"/>
      <c r="B33" s="224"/>
      <c r="C33" s="224"/>
      <c r="D33" s="224"/>
      <c r="E33" s="224"/>
      <c r="F33" s="230">
        <f>SUM(F20:F32)</f>
        <v>80</v>
      </c>
      <c r="G33" s="221"/>
    </row>
    <row r="34" spans="1:7" ht="20.100000000000001" customHeight="1" thickTop="1">
      <c r="A34" s="138" t="s">
        <v>1133</v>
      </c>
      <c r="B34" s="138" t="s">
        <v>2162</v>
      </c>
      <c r="C34" s="231"/>
      <c r="D34" s="231"/>
      <c r="E34" s="231"/>
      <c r="F34" s="231"/>
    </row>
    <row r="35" spans="1:7" ht="12.75" customHeight="1">
      <c r="A35" s="232"/>
    </row>
    <row r="36" spans="1:7" ht="12.75" customHeight="1"/>
    <row r="37" spans="1:7" ht="12.75" customHeight="1"/>
    <row r="38" spans="1:7" ht="12.75" customHeight="1">
      <c r="A38" s="227" t="s">
        <v>10</v>
      </c>
    </row>
    <row r="39" spans="1:7" ht="12.75" customHeight="1">
      <c r="A39" s="224"/>
      <c r="D39" s="265" t="s">
        <v>2894</v>
      </c>
      <c r="E39" s="266"/>
      <c r="F39" s="267"/>
    </row>
    <row r="40" spans="1:7" ht="12.75" customHeight="1">
      <c r="A40" s="233"/>
    </row>
    <row r="41" spans="1:7" ht="12.75" customHeight="1">
      <c r="A41" s="233"/>
      <c r="C41" s="234"/>
    </row>
    <row r="42" spans="1:7" ht="12.75" customHeight="1">
      <c r="A42" s="235"/>
      <c r="B42" s="236"/>
      <c r="F42" s="237"/>
    </row>
    <row r="43" spans="1:7" ht="12.75" customHeight="1">
      <c r="A43" s="233"/>
    </row>
    <row r="44" spans="1:7" ht="12.75" customHeight="1">
      <c r="A44" s="233" t="s">
        <v>8</v>
      </c>
      <c r="D44" s="233" t="s">
        <v>7</v>
      </c>
    </row>
    <row r="45" spans="1:7" ht="12.75" customHeight="1">
      <c r="A45" s="233"/>
    </row>
    <row r="46" spans="1:7" ht="12.75" customHeight="1">
      <c r="A46" s="233"/>
    </row>
    <row r="47" spans="1:7" s="211" customFormat="1" ht="12.75" customHeight="1">
      <c r="A47" s="233"/>
      <c r="B47" s="227"/>
      <c r="C47" s="227"/>
      <c r="D47" s="227"/>
      <c r="E47" s="224"/>
      <c r="F47" s="224"/>
    </row>
    <row r="48" spans="1:7" ht="12.75" customHeight="1">
      <c r="A48" s="235"/>
      <c r="B48" s="236"/>
      <c r="D48" s="236"/>
      <c r="E48" s="236"/>
      <c r="F48" s="236"/>
    </row>
    <row r="49" spans="1:4" ht="12.75" customHeight="1">
      <c r="A49" s="238" t="s">
        <v>4</v>
      </c>
      <c r="B49" s="239"/>
      <c r="C49" s="224"/>
      <c r="D49" s="224" t="s">
        <v>3</v>
      </c>
    </row>
    <row r="50" spans="1:4" ht="12.75" customHeight="1">
      <c r="A50" s="238" t="s">
        <v>2948</v>
      </c>
      <c r="D50" s="227" t="s">
        <v>2</v>
      </c>
    </row>
    <row r="51" spans="1:4" ht="12.75" customHeight="1"/>
    <row r="52" spans="1:4" ht="12.75" customHeight="1">
      <c r="D52" s="240" t="s">
        <v>1</v>
      </c>
    </row>
    <row r="53" spans="1:4" ht="12.75" customHeight="1">
      <c r="D53" s="240" t="s">
        <v>0</v>
      </c>
    </row>
    <row r="54" spans="1:4" ht="12.75" customHeight="1"/>
    <row r="55" spans="1:4" ht="12.75" customHeight="1"/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Sheet212">
    <pageSetUpPr fitToPage="1"/>
  </sheetPr>
  <dimension ref="A1:P57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" style="1" customWidth="1"/>
    <col min="4" max="4" width="23" style="1" customWidth="1"/>
    <col min="5" max="5" width="1" style="1" customWidth="1"/>
    <col min="6" max="6" width="13.85546875" style="1" customWidth="1"/>
    <col min="7" max="7" width="9" style="1" customWidth="1"/>
    <col min="8" max="8" width="12.85546875" style="1" customWidth="1"/>
    <col min="9" max="11" width="9.140625" style="1"/>
    <col min="12" max="12" width="9.42578125" style="1" bestFit="1" customWidth="1"/>
    <col min="13" max="16384" width="9.140625" style="1"/>
  </cols>
  <sheetData>
    <row r="1" spans="1:16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6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6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6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6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6">
      <c r="A9" s="111"/>
      <c r="B9" s="111"/>
      <c r="C9" s="111"/>
      <c r="D9" s="111"/>
      <c r="E9" s="111"/>
      <c r="F9" s="112" t="s">
        <v>1127</v>
      </c>
      <c r="G9" s="488" t="s">
        <v>6573</v>
      </c>
      <c r="H9" s="111"/>
    </row>
    <row r="10" spans="1:16">
      <c r="A10" s="111" t="s">
        <v>2386</v>
      </c>
      <c r="B10" s="111"/>
      <c r="C10" s="111"/>
      <c r="D10" s="111"/>
      <c r="E10" s="111"/>
      <c r="F10" s="112" t="s">
        <v>1162</v>
      </c>
      <c r="G10" s="489" t="s">
        <v>6572</v>
      </c>
      <c r="H10" s="111"/>
    </row>
    <row r="11" spans="1:16">
      <c r="A11" s="111" t="s">
        <v>1893</v>
      </c>
      <c r="B11" s="111"/>
      <c r="C11" s="111"/>
      <c r="D11" s="111"/>
      <c r="E11" s="111"/>
      <c r="F11" s="112" t="s">
        <v>1163</v>
      </c>
      <c r="G11" s="489" t="s">
        <v>1094</v>
      </c>
      <c r="H11" s="111"/>
    </row>
    <row r="12" spans="1:16">
      <c r="A12" s="111" t="s">
        <v>1894</v>
      </c>
      <c r="B12" s="111"/>
      <c r="C12" s="111"/>
      <c r="D12" s="111"/>
      <c r="E12" s="111"/>
      <c r="F12" s="112" t="s">
        <v>1135</v>
      </c>
      <c r="G12" s="489" t="s">
        <v>6574</v>
      </c>
      <c r="H12" s="111"/>
    </row>
    <row r="13" spans="1:16">
      <c r="A13" s="111" t="s">
        <v>1895</v>
      </c>
      <c r="B13" s="111"/>
      <c r="C13" s="111"/>
      <c r="D13" s="111"/>
      <c r="E13" s="111"/>
      <c r="F13" s="111"/>
      <c r="G13" s="488" t="s">
        <v>6182</v>
      </c>
      <c r="H13" s="111"/>
      <c r="L13" s="483" t="s">
        <v>6211</v>
      </c>
      <c r="M13" s="483"/>
      <c r="N13" s="483"/>
      <c r="O13" s="483"/>
    </row>
    <row r="14" spans="1:16">
      <c r="A14" s="111" t="s">
        <v>1896</v>
      </c>
      <c r="B14" s="111"/>
      <c r="C14" s="111"/>
      <c r="D14" s="111"/>
      <c r="E14" s="111"/>
      <c r="F14" s="111"/>
      <c r="G14" s="483"/>
      <c r="H14" s="111"/>
      <c r="L14" s="483" t="s">
        <v>6212</v>
      </c>
      <c r="M14" s="483"/>
      <c r="N14" s="483"/>
      <c r="O14" s="485"/>
    </row>
    <row r="15" spans="1:16">
      <c r="A15" s="111"/>
      <c r="B15" s="111"/>
      <c r="C15" s="111"/>
      <c r="D15" s="111"/>
      <c r="E15" s="111"/>
      <c r="F15" s="111"/>
      <c r="G15" s="111"/>
      <c r="H15" s="111"/>
      <c r="L15" s="483" t="s">
        <v>6213</v>
      </c>
      <c r="M15" s="483"/>
      <c r="N15" s="483"/>
      <c r="O15" s="483"/>
    </row>
    <row r="16" spans="1:16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  <c r="L16" s="483" t="s">
        <v>6443</v>
      </c>
      <c r="M16" s="483"/>
      <c r="N16" s="483"/>
      <c r="O16" s="485"/>
      <c r="P16" s="483">
        <v>750</v>
      </c>
    </row>
    <row r="17" spans="1:16">
      <c r="A17" s="111"/>
      <c r="B17" s="111"/>
      <c r="C17" s="111"/>
      <c r="D17" s="111"/>
      <c r="E17" s="111"/>
      <c r="F17" s="111"/>
      <c r="G17" s="111"/>
      <c r="H17" s="111"/>
      <c r="L17" s="483" t="s">
        <v>6444</v>
      </c>
      <c r="M17" s="483"/>
      <c r="N17" s="483"/>
      <c r="O17" s="483"/>
      <c r="P17" s="483">
        <v>750</v>
      </c>
    </row>
    <row r="18" spans="1:16">
      <c r="D18" s="2" t="s">
        <v>3650</v>
      </c>
      <c r="E18" s="2"/>
      <c r="F18" s="111"/>
      <c r="G18" s="111"/>
      <c r="H18" s="111"/>
      <c r="L18" s="483" t="s">
        <v>6445</v>
      </c>
      <c r="M18" s="483"/>
      <c r="N18" s="483"/>
      <c r="O18" s="485"/>
      <c r="P18" s="483">
        <v>750</v>
      </c>
    </row>
    <row r="19" spans="1:16">
      <c r="A19" s="111"/>
      <c r="B19" s="116"/>
      <c r="C19" s="116"/>
      <c r="D19" s="111"/>
      <c r="E19" s="111"/>
      <c r="F19" s="111"/>
      <c r="G19" s="111"/>
      <c r="H19" s="111"/>
      <c r="I19" s="111"/>
      <c r="L19" s="483"/>
      <c r="M19" s="483"/>
      <c r="N19" s="483"/>
      <c r="O19" s="483"/>
      <c r="P19" s="483"/>
    </row>
    <row r="20" spans="1:16">
      <c r="A20" s="485" t="s">
        <v>6575</v>
      </c>
      <c r="B20" s="485" t="s">
        <v>6576</v>
      </c>
      <c r="C20" s="116"/>
      <c r="D20" s="111" t="s">
        <v>6577</v>
      </c>
      <c r="E20" s="111"/>
      <c r="F20" s="111"/>
      <c r="G20" s="116"/>
      <c r="H20" s="111">
        <v>750</v>
      </c>
      <c r="I20" s="111"/>
      <c r="K20" s="36"/>
      <c r="L20" s="36"/>
    </row>
    <row r="21" spans="1:16">
      <c r="A21" s="112"/>
      <c r="B21" s="120"/>
      <c r="C21" s="120"/>
      <c r="D21" s="483" t="s">
        <v>6578</v>
      </c>
      <c r="E21" s="111"/>
      <c r="F21" s="111"/>
      <c r="G21" s="111"/>
      <c r="H21" s="483">
        <v>750</v>
      </c>
      <c r="I21" s="111"/>
    </row>
    <row r="22" spans="1:16">
      <c r="A22" s="116"/>
      <c r="B22" s="120"/>
      <c r="C22" s="120"/>
      <c r="D22" s="483" t="s">
        <v>6579</v>
      </c>
      <c r="E22" s="111"/>
      <c r="F22" s="111"/>
      <c r="G22" s="116"/>
      <c r="H22" s="483">
        <v>750</v>
      </c>
      <c r="I22" s="111"/>
    </row>
    <row r="23" spans="1:16">
      <c r="A23" s="116"/>
      <c r="B23" s="121"/>
      <c r="C23" s="121"/>
      <c r="D23" s="483" t="s">
        <v>6580</v>
      </c>
      <c r="E23" s="111"/>
      <c r="F23" s="111"/>
      <c r="G23" s="111"/>
      <c r="H23" s="483">
        <v>750</v>
      </c>
      <c r="I23" s="111"/>
    </row>
    <row r="24" spans="1:16">
      <c r="A24" s="116"/>
      <c r="B24" s="116"/>
      <c r="C24" s="116"/>
      <c r="D24" s="483" t="s">
        <v>6581</v>
      </c>
      <c r="E24" s="111"/>
      <c r="F24" s="111"/>
      <c r="G24" s="111"/>
      <c r="H24" s="483">
        <v>750</v>
      </c>
      <c r="I24" s="111"/>
    </row>
    <row r="25" spans="1:16">
      <c r="A25" s="111"/>
      <c r="B25" s="116"/>
      <c r="C25" s="116"/>
      <c r="D25" s="483" t="s">
        <v>6582</v>
      </c>
      <c r="E25" s="111"/>
      <c r="F25" s="111"/>
      <c r="G25" s="111"/>
      <c r="H25" s="483">
        <v>750</v>
      </c>
      <c r="I25" s="111"/>
    </row>
    <row r="26" spans="1:16">
      <c r="A26" s="116"/>
      <c r="B26" s="120"/>
      <c r="C26" s="120"/>
      <c r="D26" s="483" t="s">
        <v>6583</v>
      </c>
      <c r="E26" s="111"/>
      <c r="F26" s="111"/>
      <c r="G26" s="111"/>
      <c r="H26" s="483">
        <v>750</v>
      </c>
      <c r="I26" s="111"/>
    </row>
    <row r="27" spans="1:16">
      <c r="A27" s="116"/>
      <c r="B27" s="120"/>
      <c r="C27" s="120"/>
      <c r="D27" s="483" t="s">
        <v>6584</v>
      </c>
      <c r="E27" s="111"/>
      <c r="F27" s="111"/>
      <c r="G27" s="111"/>
      <c r="H27" s="483">
        <v>750</v>
      </c>
      <c r="I27" s="111"/>
    </row>
    <row r="28" spans="1:16">
      <c r="A28" s="116"/>
      <c r="B28" s="120"/>
      <c r="C28" s="120"/>
      <c r="D28" s="483" t="s">
        <v>6577</v>
      </c>
      <c r="E28" s="111"/>
      <c r="F28" s="111"/>
      <c r="G28" s="111"/>
      <c r="H28" s="483">
        <v>750</v>
      </c>
      <c r="I28" s="111"/>
    </row>
    <row r="29" spans="1:16">
      <c r="A29" s="112"/>
      <c r="B29" s="120"/>
      <c r="C29" s="120"/>
      <c r="D29" s="483" t="s">
        <v>6577</v>
      </c>
      <c r="E29" s="111"/>
      <c r="F29" s="111"/>
      <c r="G29" s="111"/>
      <c r="H29" s="483">
        <v>750</v>
      </c>
      <c r="I29" s="111"/>
    </row>
    <row r="30" spans="1:16">
      <c r="A30" s="116"/>
      <c r="B30" s="116"/>
      <c r="C30" s="116"/>
      <c r="D30" s="111"/>
      <c r="E30" s="111"/>
      <c r="F30" s="111"/>
      <c r="G30" s="116"/>
      <c r="H30" s="111"/>
      <c r="I30" s="111"/>
    </row>
    <row r="31" spans="1:16">
      <c r="A31" s="116"/>
      <c r="B31" s="111"/>
      <c r="C31" s="111"/>
      <c r="D31" s="111"/>
      <c r="E31" s="111"/>
      <c r="F31" s="111"/>
      <c r="G31" s="111"/>
      <c r="H31" s="111"/>
      <c r="I31" s="111"/>
    </row>
    <row r="32" spans="1:16">
      <c r="A32" s="111"/>
      <c r="B32" s="120"/>
      <c r="C32" s="120"/>
      <c r="D32" s="111"/>
      <c r="E32" s="111"/>
      <c r="F32" s="111"/>
      <c r="G32" s="111"/>
      <c r="H32" s="111"/>
    </row>
    <row r="33" spans="1:8">
      <c r="A33" s="116"/>
      <c r="B33" s="120"/>
      <c r="C33" s="120"/>
      <c r="D33" s="111"/>
      <c r="E33" s="111"/>
      <c r="F33" s="111"/>
      <c r="G33" s="111"/>
      <c r="H33" s="111"/>
    </row>
    <row r="34" spans="1:8">
      <c r="A34" s="116"/>
      <c r="B34" s="120"/>
      <c r="C34" s="120"/>
      <c r="D34" s="111"/>
      <c r="E34" s="111"/>
      <c r="F34" s="111"/>
      <c r="G34" s="111"/>
    </row>
    <row r="35" spans="1:8">
      <c r="A35" s="111"/>
      <c r="B35" s="111"/>
      <c r="C35" s="111"/>
      <c r="D35" s="111"/>
      <c r="E35" s="111"/>
      <c r="F35" s="111"/>
      <c r="G35" s="111"/>
    </row>
    <row r="36" spans="1:8" ht="13.5" thickBot="1">
      <c r="A36" s="111"/>
      <c r="B36" s="111"/>
      <c r="C36" s="111"/>
      <c r="D36" s="111"/>
      <c r="E36" s="111"/>
      <c r="F36" s="111"/>
      <c r="G36" s="111"/>
      <c r="H36" s="117">
        <f>SUM(H18:H35)</f>
        <v>7500</v>
      </c>
    </row>
    <row r="37" spans="1:8" ht="13.5" thickTop="1">
      <c r="A37" s="111"/>
      <c r="B37" s="111"/>
      <c r="C37" s="111"/>
      <c r="D37" s="111"/>
      <c r="E37" s="111"/>
      <c r="F37" s="111"/>
      <c r="G37" s="111"/>
      <c r="H37" s="111"/>
    </row>
    <row r="38" spans="1:8" ht="20.100000000000001" customHeight="1">
      <c r="A38" s="118" t="s">
        <v>1133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Seven Thousand Five Hundred and NO/100 -----------</v>
      </c>
      <c r="C38" s="202"/>
      <c r="D38" s="119"/>
      <c r="E38" s="119"/>
      <c r="F38" s="119"/>
      <c r="G38" s="119"/>
      <c r="H38" s="119"/>
    </row>
    <row r="39" spans="1:8">
      <c r="A39" s="120" t="s">
        <v>11</v>
      </c>
      <c r="B39" s="111"/>
      <c r="C39" s="111"/>
      <c r="D39" s="111"/>
      <c r="E39" s="111"/>
      <c r="F39" s="111"/>
      <c r="G39" s="111"/>
      <c r="H39" s="111"/>
    </row>
    <row r="40" spans="1:8">
      <c r="A40" s="111" t="s">
        <v>10</v>
      </c>
      <c r="B40" s="111"/>
      <c r="C40" s="111"/>
      <c r="D40" s="111"/>
      <c r="E40" s="111"/>
      <c r="F40" s="111"/>
      <c r="G40" s="111"/>
      <c r="H40" s="111"/>
    </row>
    <row r="41" spans="1:8" ht="25.5">
      <c r="A41" s="126"/>
      <c r="B41" s="111"/>
      <c r="C41" s="111"/>
      <c r="D41" s="111"/>
      <c r="E41" s="111"/>
      <c r="F41" s="265" t="s">
        <v>2894</v>
      </c>
      <c r="G41" s="266"/>
      <c r="H41" s="267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11"/>
      <c r="B43" s="111"/>
      <c r="C43" s="111"/>
      <c r="D43" s="121"/>
      <c r="E43" s="121"/>
      <c r="F43" s="111"/>
      <c r="G43" s="111"/>
      <c r="H43" s="111"/>
    </row>
    <row r="44" spans="1:8">
      <c r="A44" s="122"/>
      <c r="B44" s="122"/>
      <c r="C44" s="433"/>
      <c r="D44" s="111"/>
      <c r="E44" s="111"/>
      <c r="F44" s="111"/>
      <c r="G44" s="111"/>
      <c r="H44" s="111"/>
    </row>
    <row r="45" spans="1:8">
      <c r="B45" s="111"/>
      <c r="C45" s="111"/>
      <c r="D45" s="111"/>
      <c r="E45" s="111"/>
      <c r="F45" s="111"/>
      <c r="G45" s="111"/>
      <c r="H45" s="111"/>
    </row>
    <row r="46" spans="1:8">
      <c r="A46" s="123" t="s">
        <v>8</v>
      </c>
      <c r="D46" s="123" t="s">
        <v>8</v>
      </c>
      <c r="E46" s="111"/>
      <c r="F46" s="123" t="s">
        <v>7</v>
      </c>
      <c r="G46" s="111"/>
      <c r="H46" s="124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22"/>
      <c r="B50" s="122"/>
      <c r="C50" s="433"/>
      <c r="D50" s="122"/>
      <c r="E50" s="111"/>
      <c r="F50" s="122"/>
      <c r="G50" s="122"/>
      <c r="H50" s="122"/>
    </row>
    <row r="51" spans="1:8" s="3" customFormat="1" ht="17.100000000000001" customHeight="1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</row>
    <row r="52" spans="1:8">
      <c r="A52" s="151"/>
      <c r="B52" s="111"/>
      <c r="C52" s="111"/>
      <c r="D52" s="111"/>
      <c r="E52" s="111"/>
      <c r="F52" s="111" t="s">
        <v>2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2" t="s">
        <v>1</v>
      </c>
      <c r="G54" s="111"/>
      <c r="H54" s="111"/>
    </row>
    <row r="55" spans="1:8">
      <c r="A55" s="111"/>
      <c r="B55" s="111"/>
      <c r="C55" s="111"/>
      <c r="D55" s="111"/>
      <c r="E55" s="111"/>
      <c r="F55" s="2" t="s">
        <v>0</v>
      </c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Sheet119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5703125" style="111" customWidth="1"/>
    <col min="2" max="2" width="13.42578125" style="111" customWidth="1"/>
    <col min="3" max="3" width="21.42578125" style="111" customWidth="1"/>
    <col min="4" max="4" width="13" style="111" customWidth="1"/>
    <col min="5" max="5" width="10.71093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1090</v>
      </c>
      <c r="E9" s="111" t="s">
        <v>2721</v>
      </c>
    </row>
    <row r="10" spans="1:6">
      <c r="A10" s="111" t="s">
        <v>1183</v>
      </c>
      <c r="D10" s="112" t="s">
        <v>1162</v>
      </c>
      <c r="E10" s="112" t="s">
        <v>2720</v>
      </c>
    </row>
    <row r="11" spans="1:6">
      <c r="A11" s="111" t="s">
        <v>2450</v>
      </c>
      <c r="D11" s="112" t="s">
        <v>1163</v>
      </c>
      <c r="E11" s="112" t="s">
        <v>1094</v>
      </c>
    </row>
    <row r="12" spans="1:6">
      <c r="D12" s="112" t="s">
        <v>1096</v>
      </c>
      <c r="E12" s="112" t="s">
        <v>2722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8" spans="1:6">
      <c r="A18" s="148"/>
      <c r="C18" s="2" t="s">
        <v>2723</v>
      </c>
    </row>
    <row r="19" spans="1:6">
      <c r="A19" s="161"/>
    </row>
    <row r="20" spans="1:6">
      <c r="A20" s="161" t="s">
        <v>2724</v>
      </c>
      <c r="B20" s="121" t="s">
        <v>2725</v>
      </c>
      <c r="C20" s="111" t="s">
        <v>2726</v>
      </c>
      <c r="F20" s="111">
        <v>1500</v>
      </c>
    </row>
    <row r="21" spans="1:6">
      <c r="A21" s="115"/>
      <c r="C21" s="111" t="s">
        <v>2727</v>
      </c>
      <c r="F21" s="149"/>
    </row>
    <row r="22" spans="1:6">
      <c r="A22" s="115"/>
      <c r="F22" s="149"/>
    </row>
    <row r="23" spans="1:6">
      <c r="A23" s="148"/>
      <c r="F23" s="149"/>
    </row>
    <row r="24" spans="1:6">
      <c r="A24" s="148"/>
      <c r="B24" s="120"/>
      <c r="F24" s="149"/>
    </row>
    <row r="25" spans="1:6">
      <c r="A25" s="148"/>
      <c r="B25" s="120"/>
      <c r="F25" s="149"/>
    </row>
    <row r="26" spans="1:6">
      <c r="A26" s="148"/>
      <c r="B26" s="120"/>
    </row>
    <row r="27" spans="1:6">
      <c r="A27" s="148"/>
    </row>
    <row r="28" spans="1:6">
      <c r="A28" s="148"/>
    </row>
    <row r="33" spans="1:6" ht="13.5" thickBot="1">
      <c r="F33" s="127">
        <f>SUM(F20:F32)</f>
        <v>1500</v>
      </c>
    </row>
    <row r="34" spans="1:6" ht="13.5" thickTop="1"/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Five Hundred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Sheet213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2.42578125" style="131" customWidth="1"/>
    <col min="5" max="5" width="8.7109375" style="131" customWidth="1"/>
    <col min="6" max="6" width="13.28515625" style="131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1110</v>
      </c>
      <c r="E9" s="131" t="s">
        <v>1958</v>
      </c>
    </row>
    <row r="10" spans="1:6">
      <c r="A10" s="131" t="s">
        <v>1841</v>
      </c>
      <c r="D10" s="132" t="s">
        <v>1685</v>
      </c>
      <c r="E10" s="132" t="s">
        <v>1944</v>
      </c>
    </row>
    <row r="11" spans="1:6">
      <c r="A11" s="131" t="s">
        <v>1842</v>
      </c>
      <c r="D11" s="132" t="s">
        <v>1163</v>
      </c>
      <c r="E11" s="132" t="s">
        <v>1094</v>
      </c>
    </row>
    <row r="12" spans="1:6">
      <c r="D12" s="132" t="s">
        <v>1188</v>
      </c>
      <c r="E12" s="132" t="s">
        <v>1959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6">
      <c r="A17" s="177"/>
    </row>
    <row r="18" spans="1:6">
      <c r="C18" s="110" t="s">
        <v>1884</v>
      </c>
    </row>
    <row r="19" spans="1:6">
      <c r="C19" s="110"/>
    </row>
    <row r="20" spans="1:6">
      <c r="A20" s="158" t="s">
        <v>1960</v>
      </c>
      <c r="B20" s="141"/>
      <c r="C20" s="131" t="s">
        <v>1961</v>
      </c>
      <c r="F20" s="131">
        <v>5000</v>
      </c>
    </row>
    <row r="22" spans="1:6">
      <c r="A22" s="158" t="s">
        <v>1960</v>
      </c>
      <c r="B22" s="158"/>
      <c r="C22" s="131" t="s">
        <v>1962</v>
      </c>
      <c r="F22" s="131">
        <v>2400</v>
      </c>
    </row>
    <row r="23" spans="1:6">
      <c r="A23" s="177"/>
    </row>
    <row r="26" spans="1:6">
      <c r="A26" s="86"/>
      <c r="B26" s="86"/>
    </row>
    <row r="27" spans="1:6">
      <c r="A27" s="86"/>
      <c r="B27" s="86"/>
    </row>
    <row r="28" spans="1:6">
      <c r="A28" s="86"/>
      <c r="B28" s="86"/>
      <c r="C28" s="86"/>
      <c r="D28" s="86"/>
      <c r="E28" s="86"/>
      <c r="F28" s="86"/>
    </row>
    <row r="29" spans="1:6" ht="13.5" thickBot="1">
      <c r="A29" s="177"/>
      <c r="F29" s="137">
        <f>SUM(F19:F28)</f>
        <v>7400</v>
      </c>
    </row>
    <row r="30" spans="1:6" ht="13.5" thickTop="1">
      <c r="A30" s="177"/>
    </row>
    <row r="31" spans="1:6">
      <c r="A31" s="177"/>
    </row>
    <row r="32" spans="1:6" ht="20.100000000000001" customHeight="1">
      <c r="A32" s="138" t="s">
        <v>1686</v>
      </c>
      <c r="B32" s="204" t="s">
        <v>1963</v>
      </c>
      <c r="C32" s="139"/>
      <c r="D32" s="139"/>
      <c r="E32" s="139"/>
    </row>
    <row r="33" spans="1:6" ht="13.5" thickBot="1">
      <c r="A33" s="140"/>
      <c r="F33" s="230">
        <f>SUM(F20:F32)</f>
        <v>14800</v>
      </c>
    </row>
    <row r="34" spans="1:6" ht="13.5" thickTop="1">
      <c r="A34" s="131" t="s">
        <v>10</v>
      </c>
    </row>
    <row r="37" spans="1:6">
      <c r="A37" s="131" t="s">
        <v>51</v>
      </c>
      <c r="C37" s="141"/>
    </row>
    <row r="38" spans="1:6">
      <c r="A38" s="142"/>
      <c r="B38" s="142"/>
    </row>
    <row r="39" spans="1:6" ht="25.5">
      <c r="A39" s="147"/>
      <c r="D39" s="265" t="s">
        <v>2894</v>
      </c>
      <c r="E39" s="266"/>
      <c r="F39" s="267"/>
    </row>
    <row r="40" spans="1:6">
      <c r="A40" s="131" t="s">
        <v>8</v>
      </c>
      <c r="F40" s="144"/>
    </row>
    <row r="44" spans="1:6">
      <c r="A44" s="142" t="s">
        <v>51</v>
      </c>
      <c r="B44" s="142"/>
      <c r="D44" s="142"/>
      <c r="E44" s="142"/>
      <c r="F44" s="142"/>
    </row>
    <row r="45" spans="1:6" s="109" customFormat="1" ht="17.100000000000001" customHeight="1">
      <c r="A45" s="147" t="s">
        <v>4</v>
      </c>
      <c r="B45" s="146"/>
      <c r="C45" s="147"/>
      <c r="D45" s="147" t="s">
        <v>3</v>
      </c>
      <c r="E45" s="147"/>
      <c r="F45" s="147"/>
    </row>
    <row r="46" spans="1:6">
      <c r="D46" s="131" t="s">
        <v>2</v>
      </c>
    </row>
    <row r="48" spans="1:6">
      <c r="D48" s="110" t="s">
        <v>1</v>
      </c>
    </row>
    <row r="49" spans="1:4">
      <c r="D49" s="110" t="s">
        <v>0</v>
      </c>
    </row>
    <row r="50" spans="1:4">
      <c r="A50" s="145" t="s">
        <v>2948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Sheet121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" style="111" customWidth="1"/>
    <col min="2" max="2" width="17" style="111" customWidth="1"/>
    <col min="3" max="3" width="17.7109375" style="111" customWidth="1"/>
    <col min="4" max="4" width="13.140625" style="111" customWidth="1"/>
    <col min="5" max="5" width="8.855468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2651</v>
      </c>
    </row>
    <row r="10" spans="1:6">
      <c r="A10" s="111" t="s">
        <v>1183</v>
      </c>
      <c r="D10" s="112" t="s">
        <v>1180</v>
      </c>
      <c r="E10" s="112" t="s">
        <v>2650</v>
      </c>
    </row>
    <row r="11" spans="1:6">
      <c r="A11" s="111" t="s">
        <v>1331</v>
      </c>
      <c r="D11" s="112" t="s">
        <v>1181</v>
      </c>
      <c r="E11" s="112" t="s">
        <v>1094</v>
      </c>
    </row>
    <row r="12" spans="1:6">
      <c r="D12" s="112" t="s">
        <v>1182</v>
      </c>
      <c r="E12" s="112" t="s">
        <v>2652</v>
      </c>
    </row>
    <row r="16" spans="1:6" s="15" customFormat="1" ht="20.100000000000001" customHeight="1">
      <c r="A16" s="18" t="s">
        <v>1113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16"/>
      <c r="B18" s="116"/>
      <c r="C18" s="2"/>
    </row>
    <row r="19" spans="1:6">
      <c r="A19" s="116"/>
      <c r="B19" s="116"/>
      <c r="C19" s="168" t="s">
        <v>2653</v>
      </c>
    </row>
    <row r="20" spans="1:6">
      <c r="C20" s="2" t="s">
        <v>1034</v>
      </c>
    </row>
    <row r="21" spans="1:6">
      <c r="A21" s="112" t="s">
        <v>1761</v>
      </c>
      <c r="B21" s="116"/>
      <c r="C21" s="120" t="s">
        <v>2655</v>
      </c>
      <c r="F21" s="111">
        <v>3500</v>
      </c>
    </row>
    <row r="22" spans="1:6">
      <c r="A22" s="120" t="s">
        <v>2654</v>
      </c>
      <c r="C22" s="111" t="s">
        <v>2656</v>
      </c>
    </row>
    <row r="23" spans="1:6">
      <c r="A23" s="116"/>
      <c r="B23" s="116"/>
      <c r="C23" s="111" t="s">
        <v>2657</v>
      </c>
    </row>
    <row r="24" spans="1:6">
      <c r="C24" s="111" t="s">
        <v>2658</v>
      </c>
    </row>
    <row r="25" spans="1:6">
      <c r="A25" s="112"/>
      <c r="B25" s="157"/>
      <c r="C25" s="111" t="s">
        <v>2659</v>
      </c>
      <c r="F25" s="149"/>
    </row>
    <row r="26" spans="1:6">
      <c r="A26" s="148"/>
      <c r="B26" s="120"/>
      <c r="C26" s="111" t="s">
        <v>2660</v>
      </c>
    </row>
    <row r="27" spans="1:6">
      <c r="A27" s="148"/>
      <c r="C27" s="111" t="s">
        <v>2661</v>
      </c>
    </row>
    <row r="28" spans="1:6">
      <c r="A28" s="148"/>
      <c r="C28" s="111" t="s">
        <v>2662</v>
      </c>
    </row>
    <row r="29" spans="1:6">
      <c r="C29" s="111" t="s">
        <v>2663</v>
      </c>
    </row>
    <row r="33" spans="1:6" ht="13.5" thickBot="1">
      <c r="F33" s="127">
        <f>SUM(F20:F32)</f>
        <v>3500</v>
      </c>
    </row>
    <row r="34" spans="1:6" ht="13.5" thickTop="1"/>
    <row r="35" spans="1:6" ht="20.100000000000001" customHeight="1">
      <c r="A35" s="118" t="s">
        <v>204</v>
      </c>
      <c r="B35" s="118" t="s">
        <v>1324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Sheet66">
    <pageSetUpPr fitToPage="1"/>
  </sheetPr>
  <dimension ref="A1:F52"/>
  <sheetViews>
    <sheetView topLeftCell="A7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68</v>
      </c>
    </row>
    <row r="10" spans="1:6">
      <c r="A10" s="1" t="s">
        <v>67</v>
      </c>
      <c r="D10" s="21" t="s">
        <v>21</v>
      </c>
      <c r="E10" s="21" t="s">
        <v>66</v>
      </c>
    </row>
    <row r="11" spans="1:6">
      <c r="A11" s="1" t="s">
        <v>65</v>
      </c>
      <c r="D11" s="21" t="s">
        <v>19</v>
      </c>
      <c r="E11" s="21" t="s">
        <v>18</v>
      </c>
    </row>
    <row r="12" spans="1:6">
      <c r="A12" s="1" t="s">
        <v>64</v>
      </c>
      <c r="D12" s="21" t="s">
        <v>17</v>
      </c>
      <c r="E12" s="21" t="s">
        <v>63</v>
      </c>
    </row>
    <row r="13" spans="1:6">
      <c r="A13" s="1" t="s">
        <v>62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2" spans="3:6">
      <c r="C22" s="1" t="s">
        <v>61</v>
      </c>
      <c r="F22" s="1">
        <v>5000</v>
      </c>
    </row>
    <row r="23" spans="3:6">
      <c r="C23" s="1" t="s">
        <v>60</v>
      </c>
    </row>
    <row r="25" spans="3:6">
      <c r="C25" s="8"/>
    </row>
    <row r="33" spans="1:6" ht="13.5" thickBot="1">
      <c r="F33" s="12">
        <f>SUM(F20:F32)</f>
        <v>5000</v>
      </c>
    </row>
    <row r="34" spans="1:6" ht="13.5" thickTop="1"/>
    <row r="35" spans="1:6" ht="20.100000000000001" customHeight="1">
      <c r="A35" s="10" t="s">
        <v>59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Sheet81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82</v>
      </c>
    </row>
    <row r="10" spans="1:6">
      <c r="A10" s="1" t="s">
        <v>81</v>
      </c>
      <c r="D10" s="21" t="s">
        <v>21</v>
      </c>
      <c r="E10" s="21" t="s">
        <v>80</v>
      </c>
    </row>
    <row r="11" spans="1:6">
      <c r="A11" s="1" t="s">
        <v>79</v>
      </c>
      <c r="D11" s="21" t="s">
        <v>19</v>
      </c>
      <c r="E11" s="21" t="s">
        <v>18</v>
      </c>
    </row>
    <row r="12" spans="1:6">
      <c r="A12" s="1" t="s">
        <v>78</v>
      </c>
      <c r="D12" s="21" t="s">
        <v>17</v>
      </c>
      <c r="E12" s="21" t="s">
        <v>77</v>
      </c>
    </row>
    <row r="13" spans="1:6">
      <c r="A13" s="1" t="s">
        <v>76</v>
      </c>
    </row>
    <row r="14" spans="1:6">
      <c r="A14" s="1" t="s">
        <v>75</v>
      </c>
    </row>
    <row r="17" spans="1:6" s="15" customFormat="1" ht="20.100000000000001" customHeight="1">
      <c r="A17" s="18" t="s">
        <v>15</v>
      </c>
      <c r="B17" s="18"/>
      <c r="C17" s="19" t="s">
        <v>14</v>
      </c>
      <c r="D17" s="18"/>
      <c r="E17" s="17"/>
      <c r="F17" s="16" t="s">
        <v>13</v>
      </c>
    </row>
    <row r="20" spans="1:6">
      <c r="C20" s="1" t="s">
        <v>74</v>
      </c>
    </row>
    <row r="21" spans="1:6">
      <c r="C21" s="1" t="s">
        <v>73</v>
      </c>
    </row>
    <row r="23" spans="1:6">
      <c r="A23" s="1" t="s">
        <v>72</v>
      </c>
      <c r="C23" s="1" t="s">
        <v>71</v>
      </c>
      <c r="F23" s="1">
        <v>9900</v>
      </c>
    </row>
    <row r="24" spans="1:6">
      <c r="C24" s="1" t="s">
        <v>70</v>
      </c>
      <c r="F24" s="1">
        <v>-1485</v>
      </c>
    </row>
    <row r="33" spans="1:6" ht="13.5" thickBot="1">
      <c r="F33" s="12">
        <f>SUM(F20:F32)</f>
        <v>8415</v>
      </c>
    </row>
    <row r="34" spans="1:6" ht="13.5" thickTop="1"/>
    <row r="35" spans="1:6" ht="20.100000000000001" customHeight="1">
      <c r="A35" s="10" t="s">
        <v>69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Sheet161">
    <pageSetUpPr fitToPage="1"/>
  </sheetPr>
  <dimension ref="A1:G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2205</v>
      </c>
      <c r="F9" s="111"/>
    </row>
    <row r="10" spans="1:6">
      <c r="A10" s="111" t="s">
        <v>1615</v>
      </c>
      <c r="B10" s="111"/>
      <c r="C10" s="111"/>
      <c r="D10" s="112" t="s">
        <v>1162</v>
      </c>
      <c r="E10" s="112" t="s">
        <v>2204</v>
      </c>
      <c r="F10" s="111"/>
    </row>
    <row r="11" spans="1:6">
      <c r="A11" s="111"/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1135</v>
      </c>
      <c r="E12" s="112" t="s">
        <v>2206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/>
      <c r="D18" s="111"/>
      <c r="E18" s="111"/>
      <c r="F18" s="111"/>
    </row>
    <row r="19" spans="1:7">
      <c r="A19" s="111"/>
      <c r="B19" s="111"/>
      <c r="C19" s="2" t="s">
        <v>2207</v>
      </c>
      <c r="D19" s="111"/>
      <c r="E19" s="111"/>
      <c r="F19" s="111"/>
      <c r="G19" s="111"/>
    </row>
    <row r="20" spans="1:7">
      <c r="A20" s="173"/>
      <c r="B20" s="111"/>
      <c r="C20" s="2" t="s">
        <v>2208</v>
      </c>
      <c r="D20" s="111"/>
      <c r="E20" s="111"/>
      <c r="F20" s="111"/>
      <c r="G20" s="111"/>
    </row>
    <row r="21" spans="1:7">
      <c r="A21" s="111"/>
      <c r="B21" s="111"/>
      <c r="C21" s="168" t="s">
        <v>2209</v>
      </c>
      <c r="D21" s="111"/>
      <c r="E21" s="111"/>
      <c r="F21" s="111"/>
      <c r="G21" s="111"/>
    </row>
    <row r="22" spans="1:7">
      <c r="G22" s="111"/>
    </row>
    <row r="23" spans="1:7">
      <c r="A23" s="166" t="s">
        <v>2210</v>
      </c>
      <c r="B23" s="111"/>
      <c r="C23" s="111" t="s">
        <v>2211</v>
      </c>
      <c r="D23" s="111"/>
      <c r="E23" s="111"/>
      <c r="F23" s="111">
        <f>585+87.75</f>
        <v>672.75</v>
      </c>
      <c r="G23" s="111"/>
    </row>
    <row r="24" spans="1:7">
      <c r="A24" s="174"/>
      <c r="B24" s="111"/>
      <c r="C24" s="111" t="s">
        <v>2212</v>
      </c>
      <c r="D24" s="111"/>
      <c r="E24" s="111"/>
      <c r="F24" s="111">
        <f>38.5+24.75</f>
        <v>63.25</v>
      </c>
      <c r="G24" s="111"/>
    </row>
    <row r="25" spans="1:7">
      <c r="A25" s="173"/>
      <c r="B25" s="111"/>
      <c r="C25" s="111"/>
      <c r="D25" s="111"/>
      <c r="E25" s="111"/>
      <c r="F25" s="111"/>
      <c r="G25" s="111"/>
    </row>
    <row r="26" spans="1:7">
      <c r="A26" s="173"/>
      <c r="B26" s="111"/>
      <c r="C26" s="167"/>
      <c r="D26" s="111"/>
      <c r="E26" s="111"/>
      <c r="F26" s="111"/>
      <c r="G26" s="111"/>
    </row>
    <row r="27" spans="1:7">
      <c r="A27" s="173"/>
      <c r="B27" s="111"/>
      <c r="C27" s="111"/>
      <c r="D27" s="111"/>
      <c r="E27" s="111"/>
      <c r="F27" s="111"/>
      <c r="G27" s="111"/>
    </row>
    <row r="28" spans="1:7">
      <c r="A28" s="116"/>
      <c r="B28" s="120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1"/>
      <c r="B32" s="111"/>
      <c r="C32" s="111"/>
      <c r="D32" s="111"/>
      <c r="E32" s="111"/>
      <c r="G32" s="111"/>
    </row>
    <row r="33" spans="1:7" ht="13.5" thickBot="1">
      <c r="A33" s="111"/>
      <c r="B33" s="111"/>
      <c r="C33" s="111"/>
      <c r="D33" s="111"/>
      <c r="E33" s="111"/>
      <c r="F33" s="117">
        <f>SUM(F20:F32)</f>
        <v>736</v>
      </c>
      <c r="G33" s="111"/>
    </row>
    <row r="34" spans="1:7" ht="13.5" thickTop="1">
      <c r="A34" s="111"/>
      <c r="B34" s="111"/>
      <c r="C34" s="111"/>
      <c r="D34" s="111"/>
      <c r="E34" s="111"/>
      <c r="F34" s="111"/>
      <c r="G34" s="111"/>
    </row>
    <row r="35" spans="1:7" ht="20.100000000000001" customHeight="1">
      <c r="A35" s="118" t="s">
        <v>1133</v>
      </c>
      <c r="B35" s="118" t="s">
        <v>2213</v>
      </c>
      <c r="C35" s="119"/>
      <c r="D35" s="119"/>
      <c r="E35" s="119"/>
      <c r="F35" s="119"/>
      <c r="G35" s="111"/>
    </row>
    <row r="36" spans="1:7">
      <c r="A36" s="120" t="s">
        <v>11</v>
      </c>
      <c r="B36" s="111"/>
      <c r="C36" s="111"/>
      <c r="D36" s="111"/>
      <c r="E36" s="111"/>
      <c r="F36" s="111"/>
    </row>
    <row r="37" spans="1:7">
      <c r="A37" s="111" t="s">
        <v>10</v>
      </c>
      <c r="B37" s="111"/>
      <c r="C37" s="111"/>
      <c r="D37" s="111"/>
      <c r="E37" s="111"/>
      <c r="F37" s="111"/>
    </row>
    <row r="38" spans="1:7">
      <c r="A38" s="111"/>
      <c r="B38" s="111"/>
      <c r="C38" s="111"/>
      <c r="D38" s="111"/>
      <c r="E38" s="111"/>
      <c r="F38" s="111"/>
    </row>
    <row r="39" spans="1:7" ht="25.5">
      <c r="A39" s="126"/>
      <c r="B39" s="111"/>
      <c r="C39" s="111"/>
      <c r="D39" s="265" t="s">
        <v>2894</v>
      </c>
      <c r="E39" s="266"/>
      <c r="F39" s="267"/>
    </row>
    <row r="40" spans="1:7">
      <c r="A40" s="111"/>
      <c r="B40" s="111"/>
      <c r="C40" s="121"/>
      <c r="D40" s="111"/>
      <c r="E40" s="111"/>
      <c r="F40" s="111"/>
    </row>
    <row r="41" spans="1:7">
      <c r="A41" s="122"/>
      <c r="B41" s="122"/>
      <c r="C41" s="111"/>
      <c r="D41" s="111"/>
      <c r="E41" s="111"/>
      <c r="F41" s="111"/>
    </row>
    <row r="42" spans="1:7">
      <c r="B42" s="111"/>
      <c r="C42" s="111"/>
      <c r="D42" s="111"/>
      <c r="E42" s="111"/>
      <c r="F42" s="111"/>
    </row>
    <row r="43" spans="1:7">
      <c r="A43" s="123" t="s">
        <v>8</v>
      </c>
      <c r="C43" s="111"/>
      <c r="D43" s="123" t="s">
        <v>7</v>
      </c>
      <c r="E43" s="111"/>
      <c r="F43" s="124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11"/>
      <c r="D45" s="111"/>
      <c r="E45" s="111"/>
      <c r="F45" s="111"/>
    </row>
    <row r="46" spans="1:7">
      <c r="A46" s="111"/>
      <c r="B46" s="111"/>
      <c r="C46" s="111"/>
      <c r="D46" s="111"/>
      <c r="E46" s="111"/>
      <c r="F46" s="111"/>
    </row>
    <row r="47" spans="1:7">
      <c r="A47" s="122"/>
      <c r="B47" s="122"/>
      <c r="C47" s="111"/>
      <c r="D47" s="122"/>
      <c r="E47" s="122"/>
      <c r="F47" s="122"/>
    </row>
    <row r="48" spans="1:7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Sheet189">
    <pageSetUpPr fitToPage="1"/>
  </sheetPr>
  <dimension ref="A1:G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1835</v>
      </c>
      <c r="F9" s="111"/>
    </row>
    <row r="10" spans="1:6">
      <c r="A10" s="111" t="s">
        <v>1706</v>
      </c>
      <c r="B10" s="111"/>
      <c r="C10" s="111"/>
      <c r="D10" s="112" t="s">
        <v>1162</v>
      </c>
      <c r="E10" s="112" t="s">
        <v>1834</v>
      </c>
      <c r="F10" s="111"/>
    </row>
    <row r="11" spans="1:6">
      <c r="A11" s="111" t="s">
        <v>1707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1135</v>
      </c>
      <c r="E12" s="112" t="s">
        <v>1836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/>
      <c r="D18" s="111"/>
      <c r="E18" s="111"/>
      <c r="F18" s="111"/>
    </row>
    <row r="19" spans="1:7">
      <c r="A19" s="111"/>
      <c r="B19" s="111"/>
      <c r="C19" s="2" t="s">
        <v>1099</v>
      </c>
      <c r="D19" s="111"/>
      <c r="E19" s="111"/>
      <c r="F19" s="111"/>
      <c r="G19" s="111"/>
    </row>
    <row r="20" spans="1:7">
      <c r="A20" s="173"/>
      <c r="B20" s="111"/>
      <c r="C20" s="2" t="s">
        <v>1708</v>
      </c>
      <c r="D20" s="111"/>
      <c r="E20" s="111"/>
      <c r="F20" s="111"/>
      <c r="G20" s="111"/>
    </row>
    <row r="21" spans="1:7">
      <c r="A21" s="111"/>
      <c r="B21" s="111"/>
      <c r="C21" s="111"/>
      <c r="D21" s="111"/>
      <c r="E21" s="111"/>
      <c r="F21" s="111"/>
      <c r="G21" s="111"/>
    </row>
    <row r="22" spans="1:7">
      <c r="A22" s="166" t="s">
        <v>1709</v>
      </c>
      <c r="B22" s="111"/>
      <c r="C22" s="111" t="s">
        <v>1616</v>
      </c>
      <c r="D22" s="111"/>
      <c r="E22" s="111"/>
      <c r="F22" s="111"/>
      <c r="G22" s="111"/>
    </row>
    <row r="23" spans="1:7">
      <c r="A23" s="174"/>
      <c r="B23" s="111"/>
      <c r="C23" s="111" t="s">
        <v>1837</v>
      </c>
      <c r="D23" s="111"/>
      <c r="E23" s="111"/>
      <c r="F23" s="111">
        <v>158.1</v>
      </c>
      <c r="G23" s="111"/>
    </row>
    <row r="24" spans="1:7">
      <c r="A24" s="173"/>
      <c r="B24" s="111"/>
      <c r="C24" s="111"/>
      <c r="D24" s="111"/>
      <c r="E24" s="111"/>
      <c r="F24" s="111"/>
      <c r="G24" s="111"/>
    </row>
    <row r="25" spans="1:7">
      <c r="A25" s="174"/>
      <c r="B25" s="111"/>
      <c r="C25" s="111"/>
      <c r="D25" s="111"/>
      <c r="E25" s="111"/>
      <c r="F25" s="111"/>
      <c r="G25" s="111"/>
    </row>
    <row r="26" spans="1:7">
      <c r="A26" s="173"/>
      <c r="B26" s="111"/>
      <c r="C26" s="167"/>
      <c r="D26" s="111"/>
      <c r="E26" s="111"/>
      <c r="F26" s="111"/>
      <c r="G26" s="111"/>
    </row>
    <row r="27" spans="1:7">
      <c r="A27" s="173"/>
      <c r="B27" s="111"/>
      <c r="C27" s="111"/>
      <c r="D27" s="111"/>
      <c r="E27" s="111"/>
      <c r="F27" s="111"/>
      <c r="G27" s="111"/>
    </row>
    <row r="28" spans="1:7">
      <c r="A28" s="116"/>
      <c r="B28" s="120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1"/>
      <c r="B32" s="111"/>
      <c r="C32" s="111"/>
      <c r="D32" s="111"/>
      <c r="E32" s="111"/>
      <c r="G32" s="111"/>
    </row>
    <row r="33" spans="1:7" ht="13.5" thickBot="1">
      <c r="A33" s="111"/>
      <c r="B33" s="111"/>
      <c r="C33" s="111"/>
      <c r="D33" s="111"/>
      <c r="E33" s="111"/>
      <c r="F33" s="117">
        <f>SUM(F20:F32)</f>
        <v>158.1</v>
      </c>
      <c r="G33" s="111"/>
    </row>
    <row r="34" spans="1:7" ht="13.5" thickTop="1">
      <c r="A34" s="111"/>
      <c r="B34" s="111"/>
      <c r="C34" s="111"/>
      <c r="D34" s="111"/>
      <c r="E34" s="111"/>
      <c r="F34" s="111"/>
      <c r="G34" s="111"/>
    </row>
    <row r="35" spans="1:7" ht="20.100000000000001" customHeight="1">
      <c r="A35" s="118" t="s">
        <v>1133</v>
      </c>
      <c r="B35" s="118" t="s">
        <v>1838</v>
      </c>
      <c r="C35" s="119"/>
      <c r="D35" s="119"/>
      <c r="E35" s="119"/>
      <c r="F35" s="119"/>
      <c r="G35" s="111"/>
    </row>
    <row r="36" spans="1:7">
      <c r="A36" s="120" t="s">
        <v>11</v>
      </c>
      <c r="B36" s="111"/>
      <c r="C36" s="111"/>
      <c r="D36" s="111"/>
      <c r="E36" s="111"/>
      <c r="F36" s="111"/>
    </row>
    <row r="37" spans="1:7">
      <c r="A37" s="111" t="s">
        <v>10</v>
      </c>
      <c r="B37" s="111"/>
      <c r="C37" s="111"/>
      <c r="D37" s="111"/>
      <c r="E37" s="111"/>
      <c r="F37" s="111"/>
    </row>
    <row r="38" spans="1:7">
      <c r="A38" s="111"/>
      <c r="B38" s="111"/>
      <c r="C38" s="111"/>
      <c r="D38" s="111"/>
      <c r="E38" s="111"/>
      <c r="F38" s="111"/>
    </row>
    <row r="39" spans="1:7" ht="25.5">
      <c r="A39" s="126"/>
      <c r="B39" s="111"/>
      <c r="C39" s="111"/>
      <c r="D39" s="265" t="s">
        <v>2894</v>
      </c>
      <c r="E39" s="266"/>
      <c r="F39" s="267"/>
    </row>
    <row r="40" spans="1:7">
      <c r="A40" s="111"/>
      <c r="B40" s="111"/>
      <c r="C40" s="121"/>
      <c r="D40" s="111"/>
      <c r="E40" s="111"/>
      <c r="F40" s="111"/>
    </row>
    <row r="41" spans="1:7">
      <c r="A41" s="122"/>
      <c r="B41" s="122"/>
      <c r="C41" s="111"/>
      <c r="D41" s="111"/>
      <c r="E41" s="111"/>
      <c r="F41" s="111"/>
    </row>
    <row r="42" spans="1:7">
      <c r="B42" s="111"/>
      <c r="C42" s="111"/>
      <c r="D42" s="111"/>
      <c r="E42" s="111"/>
      <c r="F42" s="111"/>
    </row>
    <row r="43" spans="1:7">
      <c r="A43" s="123" t="s">
        <v>8</v>
      </c>
      <c r="C43" s="111"/>
      <c r="D43" s="123" t="s">
        <v>7</v>
      </c>
      <c r="E43" s="111"/>
      <c r="F43" s="124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11"/>
      <c r="D45" s="111"/>
      <c r="E45" s="111"/>
      <c r="F45" s="111"/>
    </row>
    <row r="46" spans="1:7">
      <c r="A46" s="111"/>
      <c r="B46" s="111"/>
      <c r="C46" s="111"/>
      <c r="D46" s="111"/>
      <c r="E46" s="111"/>
      <c r="F46" s="111"/>
    </row>
    <row r="47" spans="1:7">
      <c r="A47" s="122"/>
      <c r="B47" s="122"/>
      <c r="C47" s="111"/>
      <c r="D47" s="122"/>
      <c r="E47" s="122"/>
      <c r="F47" s="122"/>
    </row>
    <row r="48" spans="1:7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B35D0-BEC3-4231-B96D-4DBDB9603132}">
  <sheetPr codeName="Sheet478"/>
  <dimension ref="A1:R64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3.42578125" style="1" customWidth="1"/>
    <col min="7" max="7" width="10.140625" style="1" customWidth="1"/>
    <col min="8" max="8" width="13.28515625" style="1" customWidth="1"/>
    <col min="9" max="9" width="11" style="1" bestFit="1" customWidth="1"/>
    <col min="10" max="14" width="9.140625" style="1"/>
    <col min="15" max="15" width="11.5703125" style="1" bestFit="1" customWidth="1"/>
    <col min="16" max="16" width="9.140625" style="1"/>
    <col min="17" max="17" width="11" style="1" bestFit="1" customWidth="1"/>
    <col min="18" max="18" width="10.140625" style="1" bestFit="1" customWidth="1"/>
    <col min="19" max="16384" width="9.140625" style="1"/>
  </cols>
  <sheetData>
    <row r="1" spans="1:16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6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6">
      <c r="A3" s="530" t="s">
        <v>1480</v>
      </c>
      <c r="B3" s="530"/>
      <c r="C3" s="530"/>
      <c r="D3" s="530"/>
      <c r="E3" s="530"/>
      <c r="F3" s="530"/>
      <c r="G3" s="530"/>
      <c r="H3" s="530"/>
      <c r="K3" s="483" t="s">
        <v>6112</v>
      </c>
      <c r="L3" s="483"/>
      <c r="M3" s="483"/>
      <c r="N3" s="483"/>
      <c r="O3" s="483">
        <f>9300*3.0631</f>
        <v>28486.829999999998</v>
      </c>
    </row>
    <row r="4" spans="1:16">
      <c r="A4" s="530" t="s">
        <v>1684</v>
      </c>
      <c r="B4" s="530"/>
      <c r="C4" s="530"/>
      <c r="D4" s="530"/>
      <c r="E4" s="530"/>
      <c r="F4" s="530"/>
      <c r="G4" s="530"/>
      <c r="H4" s="530"/>
      <c r="K4" s="483" t="s">
        <v>6113</v>
      </c>
      <c r="O4" s="483"/>
    </row>
    <row r="5" spans="1:16">
      <c r="K5" s="167" t="s">
        <v>4504</v>
      </c>
      <c r="O5" s="483"/>
    </row>
    <row r="7" spans="1:16">
      <c r="K7" s="483" t="s">
        <v>1697</v>
      </c>
      <c r="O7" s="483">
        <v>10</v>
      </c>
    </row>
    <row r="8" spans="1:16">
      <c r="A8" s="483" t="s">
        <v>24</v>
      </c>
      <c r="B8" s="483"/>
      <c r="C8" s="483"/>
      <c r="D8" s="483"/>
      <c r="E8" s="483"/>
      <c r="F8" s="22" t="s">
        <v>23</v>
      </c>
      <c r="G8" s="483"/>
      <c r="H8" s="483"/>
      <c r="K8" s="483"/>
      <c r="L8" s="483"/>
      <c r="M8" s="483"/>
      <c r="N8" s="483"/>
      <c r="O8" s="483"/>
    </row>
    <row r="9" spans="1:16">
      <c r="A9" s="483"/>
      <c r="B9" s="483"/>
      <c r="C9" s="483"/>
      <c r="D9" s="483"/>
      <c r="E9" s="483"/>
      <c r="F9" s="484" t="s">
        <v>22</v>
      </c>
      <c r="G9" s="488" t="s">
        <v>6339</v>
      </c>
      <c r="H9" s="483"/>
      <c r="K9" s="483"/>
      <c r="L9" s="483"/>
      <c r="M9" s="483"/>
      <c r="N9" s="483"/>
      <c r="O9" s="483"/>
    </row>
    <row r="10" spans="1:16">
      <c r="A10" s="483" t="s">
        <v>6342</v>
      </c>
      <c r="B10" s="483"/>
      <c r="C10" s="483"/>
      <c r="D10" s="483"/>
      <c r="E10" s="483"/>
      <c r="F10" s="484" t="s">
        <v>21</v>
      </c>
      <c r="G10" s="488" t="s">
        <v>6230</v>
      </c>
      <c r="H10" s="483"/>
      <c r="J10" s="21"/>
      <c r="K10" s="483" t="s">
        <v>5345</v>
      </c>
      <c r="L10" s="483"/>
      <c r="M10" s="483"/>
    </row>
    <row r="11" spans="1:16">
      <c r="A11" s="483" t="s">
        <v>6340</v>
      </c>
      <c r="B11" s="483"/>
      <c r="C11" s="483"/>
      <c r="D11" s="483"/>
      <c r="E11" s="483"/>
      <c r="F11" s="484" t="s">
        <v>19</v>
      </c>
      <c r="G11" s="488" t="s">
        <v>1094</v>
      </c>
      <c r="H11" s="483"/>
      <c r="J11" s="336"/>
      <c r="K11" s="483" t="s">
        <v>5346</v>
      </c>
      <c r="P11" s="149">
        <f>28485.02*4.16067</f>
        <v>118516.76816339999</v>
      </c>
    </row>
    <row r="12" spans="1:16">
      <c r="A12" s="483"/>
      <c r="B12" s="483"/>
      <c r="C12" s="483"/>
      <c r="D12" s="483"/>
      <c r="E12" s="483"/>
      <c r="F12" s="484" t="s">
        <v>17</v>
      </c>
      <c r="G12" s="488" t="s">
        <v>1270</v>
      </c>
      <c r="H12" s="483"/>
      <c r="K12" s="483"/>
    </row>
    <row r="13" spans="1:16">
      <c r="A13" s="483"/>
      <c r="B13" s="483"/>
      <c r="C13" s="483"/>
      <c r="D13" s="483"/>
      <c r="E13" s="483"/>
      <c r="F13" s="483"/>
      <c r="G13" s="488"/>
      <c r="H13" s="483"/>
      <c r="K13" s="483" t="s">
        <v>1697</v>
      </c>
    </row>
    <row r="14" spans="1:16">
      <c r="A14" s="483"/>
      <c r="B14" s="483"/>
      <c r="C14" s="483"/>
      <c r="D14" s="483"/>
      <c r="E14" s="483"/>
      <c r="F14" s="483"/>
      <c r="G14" s="488"/>
      <c r="H14" s="483"/>
    </row>
    <row r="15" spans="1:16">
      <c r="A15" s="483"/>
      <c r="B15" s="483"/>
      <c r="C15" s="483"/>
      <c r="D15" s="483"/>
      <c r="E15" s="483"/>
      <c r="F15" s="483"/>
      <c r="G15" s="483"/>
      <c r="H15" s="483"/>
      <c r="K15" s="483" t="s">
        <v>5347</v>
      </c>
      <c r="L15" s="483"/>
      <c r="M15" s="483"/>
      <c r="N15" s="483"/>
      <c r="O15" s="483">
        <f>4050*2.9926996</f>
        <v>12120.43338</v>
      </c>
    </row>
    <row r="16" spans="1:16" s="15" customFormat="1" ht="20.100000000000001" customHeight="1">
      <c r="A16" s="18" t="s">
        <v>1140</v>
      </c>
      <c r="B16" s="496" t="s">
        <v>1098</v>
      </c>
      <c r="C16" s="496"/>
      <c r="D16" s="19" t="s">
        <v>14</v>
      </c>
      <c r="E16" s="19"/>
      <c r="F16" s="18"/>
      <c r="G16" s="17"/>
      <c r="H16" s="16" t="s">
        <v>13</v>
      </c>
      <c r="K16" s="483"/>
      <c r="L16" s="1"/>
      <c r="M16" s="1"/>
      <c r="N16" s="1"/>
      <c r="O16" s="483"/>
    </row>
    <row r="17" spans="1:18">
      <c r="A17" s="483"/>
      <c r="B17" s="483"/>
      <c r="C17" s="483"/>
      <c r="D17" s="483"/>
      <c r="E17" s="483"/>
      <c r="F17" s="483"/>
      <c r="G17" s="483"/>
      <c r="H17" s="483"/>
      <c r="K17" s="483" t="s">
        <v>5348</v>
      </c>
      <c r="O17" s="483"/>
    </row>
    <row r="18" spans="1:18">
      <c r="A18" s="483"/>
      <c r="B18" s="483"/>
      <c r="C18" s="483"/>
      <c r="D18" s="482" t="s">
        <v>6343</v>
      </c>
      <c r="E18" s="482"/>
      <c r="F18" s="483"/>
      <c r="G18" s="483"/>
      <c r="H18" s="483"/>
    </row>
    <row r="19" spans="1:18">
      <c r="A19" s="483"/>
      <c r="B19" s="483"/>
      <c r="C19" s="483"/>
      <c r="D19" s="482"/>
      <c r="E19" s="482"/>
      <c r="F19" s="483"/>
      <c r="G19" s="483"/>
      <c r="H19" s="483"/>
      <c r="K19" s="483" t="s">
        <v>5349</v>
      </c>
      <c r="L19" s="483"/>
      <c r="M19" s="483"/>
      <c r="N19" s="483"/>
      <c r="O19" s="483">
        <f>9300*2.9926996</f>
        <v>27832.10628</v>
      </c>
    </row>
    <row r="20" spans="1:18">
      <c r="A20" s="485" t="s">
        <v>6341</v>
      </c>
      <c r="B20" s="485" t="s">
        <v>6344</v>
      </c>
      <c r="C20" s="485"/>
      <c r="D20" s="483" t="s">
        <v>6345</v>
      </c>
      <c r="E20" s="483"/>
      <c r="F20" s="483"/>
      <c r="G20" s="483"/>
      <c r="H20" s="149">
        <f>28485.02*4.1607</f>
        <v>118517.62271400001</v>
      </c>
      <c r="I20" s="497">
        <f>118517.62/28485.02</f>
        <v>4.1606999047218505</v>
      </c>
      <c r="K20" s="483"/>
      <c r="L20" s="483"/>
      <c r="M20" s="483"/>
      <c r="N20" s="483"/>
      <c r="O20" s="483"/>
      <c r="Q20" s="498">
        <f>193230.19/46430.59</f>
        <v>4.1617000774704787</v>
      </c>
    </row>
    <row r="21" spans="1:18">
      <c r="A21" s="483"/>
      <c r="B21" s="486"/>
      <c r="C21" s="486"/>
      <c r="D21" s="486"/>
      <c r="H21" s="483"/>
      <c r="K21" s="483" t="s">
        <v>5350</v>
      </c>
      <c r="L21" s="483"/>
      <c r="O21" s="483"/>
    </row>
    <row r="22" spans="1:18">
      <c r="A22" s="485"/>
      <c r="B22" s="485"/>
      <c r="C22" s="485"/>
      <c r="D22" s="483" t="s">
        <v>6352</v>
      </c>
      <c r="H22" s="483"/>
    </row>
    <row r="23" spans="1:18">
      <c r="D23" s="483"/>
      <c r="E23" s="483"/>
      <c r="F23" s="483"/>
      <c r="G23" s="483"/>
      <c r="H23" s="483"/>
      <c r="K23" s="483" t="s">
        <v>2831</v>
      </c>
      <c r="O23" s="483">
        <v>10</v>
      </c>
    </row>
    <row r="24" spans="1:18">
      <c r="A24" s="485"/>
      <c r="B24" s="485"/>
      <c r="C24" s="486"/>
      <c r="D24" s="483" t="s">
        <v>1697</v>
      </c>
      <c r="H24" s="483">
        <v>30</v>
      </c>
      <c r="K24" s="483"/>
      <c r="L24" s="483"/>
    </row>
    <row r="25" spans="1:18">
      <c r="A25" s="485"/>
      <c r="B25" s="485"/>
      <c r="C25" s="485"/>
      <c r="D25" s="483"/>
      <c r="E25" s="483"/>
      <c r="F25" s="483"/>
      <c r="G25" s="483"/>
      <c r="H25" s="483"/>
      <c r="K25" s="483" t="s">
        <v>5351</v>
      </c>
      <c r="L25" s="483"/>
      <c r="M25" s="483"/>
      <c r="N25" s="483"/>
      <c r="O25" s="483">
        <f>9300*3.0413</f>
        <v>28284.09</v>
      </c>
    </row>
    <row r="26" spans="1:18">
      <c r="K26" s="483" t="s">
        <v>5352</v>
      </c>
      <c r="O26" s="483"/>
    </row>
    <row r="27" spans="1:18">
      <c r="A27" s="483"/>
      <c r="B27" s="483"/>
      <c r="C27" s="483"/>
      <c r="D27" s="483"/>
      <c r="E27" s="483"/>
      <c r="F27" s="483"/>
      <c r="G27" s="483"/>
      <c r="H27" s="483"/>
      <c r="K27" s="483"/>
      <c r="O27" s="483"/>
    </row>
    <row r="28" spans="1:18">
      <c r="A28" s="485"/>
      <c r="B28" s="485"/>
      <c r="C28" s="486"/>
      <c r="D28" s="483"/>
      <c r="E28" s="483"/>
      <c r="H28" s="483"/>
      <c r="K28" s="483" t="s">
        <v>5353</v>
      </c>
      <c r="O28" s="483">
        <f>4050*3.0413</f>
        <v>12317.265000000001</v>
      </c>
    </row>
    <row r="29" spans="1:18">
      <c r="A29" s="483"/>
      <c r="B29" s="483"/>
      <c r="C29" s="483"/>
      <c r="D29" s="483"/>
      <c r="H29" s="483"/>
      <c r="K29" s="483" t="s">
        <v>5354</v>
      </c>
      <c r="L29" s="483"/>
      <c r="M29" s="483"/>
      <c r="N29" s="483"/>
      <c r="O29" s="483"/>
    </row>
    <row r="30" spans="1:18">
      <c r="A30" s="483"/>
      <c r="B30" s="483"/>
      <c r="C30" s="483"/>
      <c r="K30" s="485" t="s">
        <v>6114</v>
      </c>
      <c r="L30" s="485" t="s">
        <v>6115</v>
      </c>
      <c r="M30" s="486"/>
      <c r="N30" s="483" t="s">
        <v>6116</v>
      </c>
      <c r="R30" s="483">
        <f>18200*3.0647</f>
        <v>55777.54</v>
      </c>
    </row>
    <row r="31" spans="1:18">
      <c r="A31" s="483"/>
      <c r="B31" s="483"/>
      <c r="C31" s="483"/>
      <c r="K31" s="485"/>
      <c r="L31" s="485"/>
      <c r="M31" s="485"/>
      <c r="N31" s="483" t="s">
        <v>6117</v>
      </c>
      <c r="O31" s="483"/>
      <c r="P31" s="483"/>
      <c r="Q31" s="483"/>
      <c r="R31" s="483"/>
    </row>
    <row r="32" spans="1:18">
      <c r="A32" s="483"/>
      <c r="B32" s="483"/>
      <c r="C32" s="483"/>
      <c r="K32" s="485" t="s">
        <v>6114</v>
      </c>
      <c r="L32" s="485" t="s">
        <v>6118</v>
      </c>
      <c r="M32" s="486"/>
      <c r="N32" s="483" t="s">
        <v>6119</v>
      </c>
      <c r="O32" s="483"/>
      <c r="R32" s="483">
        <f>3000*3.0647</f>
        <v>9194.1</v>
      </c>
    </row>
    <row r="33" spans="1:15">
      <c r="A33" s="483"/>
      <c r="B33" s="483"/>
      <c r="C33" s="483"/>
      <c r="D33" s="483"/>
      <c r="E33" s="483"/>
      <c r="F33" s="483"/>
      <c r="G33" s="483"/>
      <c r="H33" s="483"/>
    </row>
    <row r="34" spans="1:15" ht="13.5" thickBot="1">
      <c r="A34" s="483"/>
      <c r="B34" s="483"/>
      <c r="C34" s="483"/>
      <c r="D34" s="483"/>
      <c r="E34" s="483"/>
      <c r="F34" s="483"/>
      <c r="G34" s="483"/>
      <c r="H34" s="117">
        <f>SUM(H18:H33)</f>
        <v>118547.62271400001</v>
      </c>
    </row>
    <row r="35" spans="1:15" ht="13.5" thickTop="1">
      <c r="A35" s="483"/>
      <c r="B35" s="483"/>
      <c r="C35" s="483"/>
      <c r="D35" s="483"/>
      <c r="E35" s="483"/>
    </row>
    <row r="36" spans="1:15" ht="20.100000000000001" customHeight="1">
      <c r="A36" s="118" t="s">
        <v>204</v>
      </c>
      <c r="B36" s="204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>One Hundred Eighteen Thousand Five Hundred Forty-Seven and 62/100 -----------</v>
      </c>
      <c r="C36" s="204"/>
      <c r="D36" s="119"/>
      <c r="E36" s="119"/>
      <c r="F36" s="119"/>
      <c r="G36" s="119"/>
      <c r="H36" s="119"/>
      <c r="K36" s="483" t="s">
        <v>6335</v>
      </c>
      <c r="L36" s="483"/>
      <c r="M36" s="483"/>
      <c r="N36" s="483"/>
      <c r="O36" s="483">
        <f>18200*3.0812</f>
        <v>56077.84</v>
      </c>
    </row>
    <row r="37" spans="1:15" ht="20.100000000000001" customHeight="1">
      <c r="A37" s="160"/>
      <c r="B37" s="494"/>
      <c r="C37" s="494"/>
      <c r="D37" s="126"/>
      <c r="E37" s="126"/>
      <c r="F37" s="126"/>
      <c r="G37" s="126"/>
      <c r="H37" s="126"/>
      <c r="K37" s="483" t="s">
        <v>6336</v>
      </c>
      <c r="O37" s="483"/>
    </row>
    <row r="38" spans="1:15" ht="25.5">
      <c r="A38" s="486" t="s">
        <v>3060</v>
      </c>
      <c r="B38" s="483"/>
      <c r="C38" s="483"/>
      <c r="D38" s="487" t="s">
        <v>8</v>
      </c>
      <c r="E38" s="483"/>
      <c r="F38" s="265" t="s">
        <v>2894</v>
      </c>
      <c r="G38" s="266"/>
      <c r="H38" s="267"/>
      <c r="K38" s="167"/>
      <c r="O38" s="483"/>
    </row>
    <row r="39" spans="1:15">
      <c r="A39" s="483"/>
      <c r="B39" s="483"/>
      <c r="C39" s="483"/>
      <c r="D39" s="483"/>
      <c r="E39" s="483"/>
      <c r="F39" s="310"/>
      <c r="G39" s="311"/>
      <c r="H39" s="311"/>
      <c r="K39" s="483" t="s">
        <v>6337</v>
      </c>
      <c r="O39" s="483">
        <f>3000*3.0812</f>
        <v>9243.6</v>
      </c>
    </row>
    <row r="40" spans="1:15">
      <c r="B40" s="483"/>
      <c r="C40" s="483"/>
      <c r="D40" s="483"/>
      <c r="E40" s="483"/>
      <c r="F40" s="483"/>
      <c r="G40" s="483"/>
      <c r="H40" s="483"/>
      <c r="K40" s="483" t="s">
        <v>6338</v>
      </c>
      <c r="O40" s="483"/>
    </row>
    <row r="41" spans="1:15">
      <c r="A41" s="483"/>
      <c r="B41" s="483"/>
      <c r="C41" s="483"/>
      <c r="D41" s="483"/>
      <c r="E41" s="483"/>
      <c r="F41" s="483"/>
      <c r="G41" s="483"/>
      <c r="H41" s="483"/>
      <c r="K41" s="483"/>
      <c r="L41" s="483"/>
      <c r="M41" s="483"/>
      <c r="N41" s="483"/>
      <c r="O41" s="483"/>
    </row>
    <row r="42" spans="1:15">
      <c r="A42" s="122"/>
      <c r="B42" s="122"/>
      <c r="C42" s="483"/>
      <c r="D42" s="122"/>
      <c r="E42" s="483"/>
      <c r="F42" s="483"/>
      <c r="G42" s="483"/>
      <c r="H42" s="483"/>
    </row>
    <row r="43" spans="1:15">
      <c r="A43" s="483"/>
      <c r="B43" s="483"/>
      <c r="C43" s="483"/>
      <c r="D43" s="151" t="s">
        <v>103</v>
      </c>
      <c r="E43" s="483"/>
      <c r="F43" s="483"/>
      <c r="G43" s="483"/>
      <c r="H43" s="483"/>
    </row>
    <row r="44" spans="1:15">
      <c r="A44" s="483"/>
      <c r="B44" s="483"/>
      <c r="C44" s="483"/>
      <c r="D44" s="151"/>
      <c r="E44" s="483"/>
      <c r="F44" s="483"/>
      <c r="G44" s="483"/>
      <c r="H44" s="483"/>
    </row>
    <row r="45" spans="1:15">
      <c r="A45" s="487" t="s">
        <v>8</v>
      </c>
      <c r="B45" s="483"/>
      <c r="C45" s="483"/>
      <c r="D45" s="487" t="s">
        <v>8</v>
      </c>
      <c r="E45" s="483"/>
      <c r="F45" s="487" t="s">
        <v>7</v>
      </c>
      <c r="G45" s="483"/>
      <c r="H45" s="124"/>
    </row>
    <row r="46" spans="1:15">
      <c r="A46" s="483"/>
      <c r="B46" s="483"/>
      <c r="C46" s="483"/>
      <c r="D46" s="483"/>
      <c r="E46" s="483"/>
      <c r="F46" s="483"/>
      <c r="G46" s="483"/>
      <c r="H46" s="483"/>
    </row>
    <row r="47" spans="1:15">
      <c r="A47" s="483"/>
      <c r="B47" s="483"/>
      <c r="C47" s="483"/>
      <c r="D47" s="483"/>
      <c r="E47" s="483"/>
      <c r="F47" s="483"/>
      <c r="G47" s="483"/>
      <c r="H47" s="483"/>
    </row>
    <row r="48" spans="1:15">
      <c r="A48" s="483"/>
      <c r="B48" s="483"/>
      <c r="C48" s="483"/>
      <c r="D48" s="483"/>
      <c r="E48" s="483"/>
      <c r="F48" s="483"/>
      <c r="G48" s="483"/>
      <c r="H48" s="483"/>
    </row>
    <row r="49" spans="1:8">
      <c r="A49" s="122"/>
      <c r="B49" s="122"/>
      <c r="C49" s="483"/>
      <c r="D49" s="122"/>
      <c r="E49" s="483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483"/>
      <c r="B51" s="483"/>
      <c r="C51" s="483"/>
      <c r="D51" s="483"/>
      <c r="E51" s="483"/>
      <c r="F51" s="483" t="s">
        <v>2</v>
      </c>
      <c r="G51" s="483"/>
      <c r="H51" s="483"/>
    </row>
    <row r="52" spans="1:8">
      <c r="A52" s="483"/>
      <c r="B52" s="483"/>
      <c r="C52" s="483"/>
      <c r="D52" s="483"/>
      <c r="E52" s="483"/>
      <c r="F52" s="483"/>
      <c r="G52" s="483"/>
      <c r="H52" s="483"/>
    </row>
    <row r="53" spans="1:8">
      <c r="A53" s="483"/>
      <c r="B53" s="483"/>
      <c r="C53" s="483"/>
      <c r="D53" s="483"/>
      <c r="E53" s="483"/>
      <c r="F53" s="482" t="s">
        <v>1</v>
      </c>
      <c r="G53" s="483"/>
      <c r="H53" s="483"/>
    </row>
    <row r="54" spans="1:8">
      <c r="A54" s="483"/>
      <c r="B54" s="483"/>
      <c r="C54" s="483"/>
      <c r="D54" s="483"/>
      <c r="E54" s="483"/>
      <c r="F54" s="482" t="s">
        <v>0</v>
      </c>
      <c r="G54" s="483"/>
      <c r="H54" s="483"/>
    </row>
    <row r="55" spans="1:8">
      <c r="A55" s="483"/>
      <c r="B55" s="483"/>
      <c r="C55" s="483"/>
      <c r="D55" s="483"/>
      <c r="E55" s="483"/>
      <c r="F55" s="483"/>
      <c r="G55" s="483"/>
      <c r="H55" s="483"/>
    </row>
    <row r="56" spans="1:8">
      <c r="A56" s="483"/>
      <c r="B56" s="483"/>
      <c r="C56" s="483"/>
      <c r="D56" s="483"/>
      <c r="E56" s="483"/>
      <c r="F56" s="483"/>
      <c r="G56" s="483"/>
      <c r="H56" s="483"/>
    </row>
    <row r="57" spans="1:8">
      <c r="A57" s="483"/>
      <c r="B57" s="483"/>
      <c r="C57" s="483"/>
      <c r="D57" s="483"/>
      <c r="E57" s="483"/>
      <c r="F57" s="483"/>
      <c r="G57" s="483"/>
      <c r="H57" s="483"/>
    </row>
    <row r="58" spans="1:8">
      <c r="A58" s="483"/>
      <c r="B58" s="483"/>
      <c r="C58" s="483"/>
      <c r="D58" s="483"/>
      <c r="E58" s="483"/>
      <c r="F58" s="483"/>
      <c r="G58" s="483"/>
      <c r="H58" s="483"/>
    </row>
    <row r="59" spans="1:8">
      <c r="A59" s="483"/>
      <c r="B59" s="483"/>
      <c r="C59" s="483"/>
      <c r="D59" s="483"/>
      <c r="E59" s="483"/>
      <c r="F59" s="483"/>
      <c r="G59" s="483"/>
      <c r="H59" s="483"/>
    </row>
    <row r="60" spans="1:8">
      <c r="A60" s="483"/>
      <c r="B60" s="483"/>
      <c r="C60" s="483"/>
      <c r="D60" s="483"/>
      <c r="E60" s="483"/>
      <c r="F60" s="483"/>
      <c r="G60" s="483"/>
      <c r="H60" s="483"/>
    </row>
    <row r="61" spans="1:8">
      <c r="A61" s="483"/>
      <c r="B61" s="483"/>
      <c r="C61" s="483"/>
      <c r="D61" s="483"/>
      <c r="E61" s="483"/>
      <c r="F61" s="483"/>
      <c r="G61" s="483"/>
      <c r="H61" s="483"/>
    </row>
    <row r="62" spans="1:8">
      <c r="A62" s="483"/>
      <c r="B62" s="483"/>
      <c r="C62" s="483"/>
      <c r="D62" s="483"/>
      <c r="E62" s="483"/>
      <c r="F62" s="483"/>
      <c r="G62" s="483"/>
      <c r="H62" s="483"/>
    </row>
    <row r="63" spans="1:8">
      <c r="A63" s="483"/>
      <c r="B63" s="483"/>
      <c r="C63" s="483"/>
      <c r="D63" s="483"/>
      <c r="E63" s="483"/>
      <c r="F63" s="483"/>
      <c r="G63" s="483"/>
      <c r="H63" s="483"/>
    </row>
    <row r="64" spans="1:8">
      <c r="A64" s="483"/>
      <c r="B64" s="483"/>
      <c r="C64" s="483"/>
      <c r="D64" s="483"/>
      <c r="E64" s="483"/>
      <c r="F64" s="483"/>
      <c r="G64" s="483"/>
      <c r="H64" s="48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Sheet190">
    <pageSetUpPr fitToPage="1"/>
  </sheetPr>
  <dimension ref="A1:G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1839</v>
      </c>
      <c r="F9" s="111"/>
    </row>
    <row r="10" spans="1:6">
      <c r="A10" s="111" t="s">
        <v>1710</v>
      </c>
      <c r="B10" s="111"/>
      <c r="C10" s="111"/>
      <c r="D10" s="112" t="s">
        <v>1162</v>
      </c>
      <c r="E10" s="112" t="s">
        <v>1834</v>
      </c>
      <c r="F10" s="111"/>
    </row>
    <row r="11" spans="1:6">
      <c r="A11" s="111" t="s">
        <v>1711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1135</v>
      </c>
      <c r="E12" s="112" t="s">
        <v>1840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/>
      <c r="D18" s="111"/>
      <c r="E18" s="111"/>
      <c r="F18" s="111"/>
    </row>
    <row r="19" spans="1:7">
      <c r="A19" s="111"/>
      <c r="B19" s="111"/>
      <c r="C19" s="2" t="s">
        <v>1099</v>
      </c>
      <c r="D19" s="111"/>
      <c r="E19" s="111"/>
      <c r="F19" s="111"/>
      <c r="G19" s="111"/>
    </row>
    <row r="20" spans="1:7">
      <c r="A20" s="173"/>
      <c r="B20" s="111"/>
      <c r="C20" s="2" t="s">
        <v>1708</v>
      </c>
      <c r="D20" s="111"/>
      <c r="E20" s="111"/>
      <c r="F20" s="111"/>
      <c r="G20" s="111"/>
    </row>
    <row r="21" spans="1:7">
      <c r="A21" s="111"/>
      <c r="B21" s="111"/>
      <c r="C21" s="111"/>
      <c r="D21" s="111"/>
      <c r="E21" s="111"/>
      <c r="F21" s="111"/>
      <c r="G21" s="111"/>
    </row>
    <row r="22" spans="1:7">
      <c r="A22" s="166" t="s">
        <v>1709</v>
      </c>
      <c r="B22" s="111"/>
      <c r="C22" s="111" t="s">
        <v>1616</v>
      </c>
      <c r="D22" s="111"/>
      <c r="E22" s="111"/>
      <c r="F22" s="111"/>
      <c r="G22" s="111"/>
    </row>
    <row r="23" spans="1:7">
      <c r="A23" s="174"/>
      <c r="B23" s="111"/>
      <c r="C23" s="111" t="s">
        <v>1837</v>
      </c>
      <c r="D23" s="111"/>
      <c r="E23" s="111"/>
      <c r="F23" s="111">
        <v>158.1</v>
      </c>
      <c r="G23" s="111"/>
    </row>
    <row r="24" spans="1:7">
      <c r="A24" s="173"/>
      <c r="B24" s="111"/>
      <c r="C24" s="111"/>
      <c r="D24" s="111"/>
      <c r="E24" s="111"/>
      <c r="F24" s="111"/>
      <c r="G24" s="111"/>
    </row>
    <row r="25" spans="1:7">
      <c r="A25" s="174"/>
      <c r="B25" s="111"/>
      <c r="C25" s="111"/>
      <c r="D25" s="111"/>
      <c r="E25" s="111"/>
      <c r="F25" s="111"/>
      <c r="G25" s="111"/>
    </row>
    <row r="26" spans="1:7">
      <c r="A26" s="173"/>
      <c r="B26" s="111"/>
      <c r="C26" s="167"/>
      <c r="D26" s="111"/>
      <c r="E26" s="111"/>
      <c r="F26" s="111"/>
      <c r="G26" s="111"/>
    </row>
    <row r="27" spans="1:7">
      <c r="A27" s="173"/>
      <c r="B27" s="111"/>
      <c r="C27" s="111"/>
      <c r="D27" s="111"/>
      <c r="E27" s="111"/>
      <c r="F27" s="111"/>
      <c r="G27" s="111"/>
    </row>
    <row r="28" spans="1:7">
      <c r="A28" s="116"/>
      <c r="B28" s="120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1"/>
      <c r="B32" s="111"/>
      <c r="C32" s="111"/>
      <c r="D32" s="111"/>
      <c r="E32" s="111"/>
      <c r="G32" s="111"/>
    </row>
    <row r="33" spans="1:7" ht="13.5" thickBot="1">
      <c r="A33" s="111"/>
      <c r="B33" s="111"/>
      <c r="C33" s="111"/>
      <c r="D33" s="111"/>
      <c r="E33" s="111"/>
      <c r="F33" s="117">
        <f>SUM(F20:F32)</f>
        <v>158.1</v>
      </c>
      <c r="G33" s="111"/>
    </row>
    <row r="34" spans="1:7" ht="13.5" thickTop="1">
      <c r="A34" s="111"/>
      <c r="B34" s="111"/>
      <c r="C34" s="111"/>
      <c r="D34" s="111"/>
      <c r="E34" s="111"/>
      <c r="F34" s="111"/>
      <c r="G34" s="111"/>
    </row>
    <row r="35" spans="1:7" ht="20.100000000000001" customHeight="1">
      <c r="A35" s="118" t="s">
        <v>1133</v>
      </c>
      <c r="B35" s="118" t="s">
        <v>1838</v>
      </c>
      <c r="C35" s="119"/>
      <c r="D35" s="119"/>
      <c r="E35" s="119"/>
      <c r="F35" s="119"/>
      <c r="G35" s="111"/>
    </row>
    <row r="36" spans="1:7">
      <c r="A36" s="120" t="s">
        <v>11</v>
      </c>
      <c r="B36" s="111"/>
      <c r="C36" s="111"/>
      <c r="D36" s="111"/>
      <c r="E36" s="111"/>
      <c r="F36" s="111"/>
    </row>
    <row r="37" spans="1:7">
      <c r="A37" s="111" t="s">
        <v>10</v>
      </c>
      <c r="B37" s="111"/>
      <c r="C37" s="111"/>
      <c r="D37" s="111"/>
      <c r="E37" s="111"/>
      <c r="F37" s="111"/>
    </row>
    <row r="38" spans="1:7">
      <c r="A38" s="111"/>
      <c r="B38" s="111"/>
      <c r="C38" s="111"/>
      <c r="D38" s="111"/>
      <c r="E38" s="111"/>
      <c r="F38" s="111"/>
    </row>
    <row r="39" spans="1:7" ht="25.5">
      <c r="A39" s="126"/>
      <c r="B39" s="111"/>
      <c r="C39" s="111"/>
      <c r="D39" s="265" t="s">
        <v>2894</v>
      </c>
      <c r="E39" s="266"/>
      <c r="F39" s="267"/>
    </row>
    <row r="40" spans="1:7">
      <c r="A40" s="111"/>
      <c r="B40" s="111"/>
      <c r="C40" s="121"/>
      <c r="D40" s="111"/>
      <c r="E40" s="111"/>
      <c r="F40" s="111"/>
    </row>
    <row r="41" spans="1:7">
      <c r="A41" s="122"/>
      <c r="B41" s="122"/>
      <c r="C41" s="111"/>
      <c r="D41" s="111"/>
      <c r="E41" s="111"/>
      <c r="F41" s="111"/>
    </row>
    <row r="42" spans="1:7">
      <c r="B42" s="111"/>
      <c r="C42" s="111"/>
      <c r="D42" s="111"/>
      <c r="E42" s="111"/>
      <c r="F42" s="111"/>
    </row>
    <row r="43" spans="1:7">
      <c r="A43" s="123" t="s">
        <v>8</v>
      </c>
      <c r="C43" s="111"/>
      <c r="D43" s="123" t="s">
        <v>7</v>
      </c>
      <c r="E43" s="111"/>
      <c r="F43" s="124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11"/>
      <c r="D45" s="111"/>
      <c r="E45" s="111"/>
      <c r="F45" s="111"/>
    </row>
    <row r="46" spans="1:7">
      <c r="A46" s="111"/>
      <c r="B46" s="111"/>
      <c r="C46" s="111"/>
      <c r="D46" s="111"/>
      <c r="E46" s="111"/>
      <c r="F46" s="111"/>
    </row>
    <row r="47" spans="1:7">
      <c r="A47" s="122"/>
      <c r="B47" s="122"/>
      <c r="C47" s="111"/>
      <c r="D47" s="122"/>
      <c r="E47" s="122"/>
      <c r="F47" s="122"/>
    </row>
    <row r="48" spans="1:7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Sheet191"/>
  <dimension ref="A1:H55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3.42578125" style="111" customWidth="1"/>
    <col min="3" max="3" width="1" style="111" customWidth="1"/>
    <col min="4" max="4" width="19.42578125" style="111" customWidth="1"/>
    <col min="5" max="5" width="1.28515625" style="111" customWidth="1"/>
    <col min="6" max="6" width="14.42578125" style="111" customWidth="1"/>
    <col min="7" max="7" width="9" style="111" customWidth="1"/>
    <col min="8" max="8" width="13.28515625" style="11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A9" s="111" t="s">
        <v>1687</v>
      </c>
      <c r="F9" s="112" t="s">
        <v>1110</v>
      </c>
      <c r="G9" s="483" t="s">
        <v>7047</v>
      </c>
    </row>
    <row r="10" spans="1:8">
      <c r="A10" s="111" t="s">
        <v>1688</v>
      </c>
      <c r="F10" s="112" t="s">
        <v>1685</v>
      </c>
      <c r="G10" s="484" t="s">
        <v>7046</v>
      </c>
    </row>
    <row r="11" spans="1:8">
      <c r="F11" s="112" t="s">
        <v>1163</v>
      </c>
      <c r="G11" s="484" t="s">
        <v>1094</v>
      </c>
    </row>
    <row r="12" spans="1:8">
      <c r="F12" s="112" t="s">
        <v>1135</v>
      </c>
      <c r="G12" s="484" t="s">
        <v>7048</v>
      </c>
    </row>
    <row r="13" spans="1:8">
      <c r="G13" s="483" t="s">
        <v>5914</v>
      </c>
    </row>
    <row r="14" spans="1:8">
      <c r="G14" s="483"/>
    </row>
    <row r="16" spans="1:8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73"/>
    </row>
    <row r="18" spans="1:8">
      <c r="A18" s="116" t="s">
        <v>11</v>
      </c>
      <c r="B18" s="116"/>
      <c r="C18" s="116"/>
      <c r="D18" s="2" t="s">
        <v>2207</v>
      </c>
      <c r="E18" s="2"/>
    </row>
    <row r="20" spans="1:8">
      <c r="D20" s="2" t="s">
        <v>7049</v>
      </c>
      <c r="E20" s="2"/>
    </row>
    <row r="21" spans="1:8">
      <c r="D21" s="2"/>
    </row>
    <row r="22" spans="1:8">
      <c r="A22" s="112" t="s">
        <v>2834</v>
      </c>
      <c r="C22" s="111" t="s">
        <v>1034</v>
      </c>
      <c r="D22" s="111" t="s">
        <v>7051</v>
      </c>
      <c r="H22" s="111">
        <v>212.65</v>
      </c>
    </row>
    <row r="23" spans="1:8">
      <c r="A23" s="111" t="s">
        <v>7050</v>
      </c>
      <c r="D23" s="486" t="s">
        <v>7052</v>
      </c>
      <c r="H23" s="111">
        <v>230</v>
      </c>
    </row>
    <row r="24" spans="1:8">
      <c r="B24" s="116"/>
      <c r="C24" s="116"/>
      <c r="D24" s="486" t="s">
        <v>7053</v>
      </c>
      <c r="H24" s="111">
        <v>49.5</v>
      </c>
    </row>
    <row r="25" spans="1:8">
      <c r="D25" s="483"/>
    </row>
    <row r="26" spans="1:8">
      <c r="D26" s="482" t="s">
        <v>7054</v>
      </c>
    </row>
    <row r="27" spans="1:8">
      <c r="A27" s="484"/>
    </row>
    <row r="28" spans="1:8">
      <c r="A28" s="484" t="s">
        <v>2834</v>
      </c>
      <c r="D28" s="486" t="s">
        <v>7056</v>
      </c>
      <c r="H28" s="111">
        <v>600</v>
      </c>
    </row>
    <row r="29" spans="1:8">
      <c r="A29" s="483" t="s">
        <v>7055</v>
      </c>
      <c r="D29" s="486" t="s">
        <v>7057</v>
      </c>
    </row>
    <row r="31" spans="1:8">
      <c r="D31" s="483"/>
    </row>
    <row r="33" spans="1:8">
      <c r="B33" s="116"/>
      <c r="C33" s="116"/>
    </row>
    <row r="34" spans="1:8">
      <c r="A34" s="112"/>
      <c r="B34" s="1"/>
      <c r="C34" s="1"/>
    </row>
    <row r="35" spans="1:8">
      <c r="A35" s="173"/>
    </row>
    <row r="36" spans="1:8" ht="13.5" thickBot="1">
      <c r="A36" s="173"/>
      <c r="H36" s="117">
        <f>SUM(H18:H35)</f>
        <v>1092.1500000000001</v>
      </c>
    </row>
    <row r="37" spans="1:8" ht="13.5" thickTop="1">
      <c r="A37" s="173"/>
    </row>
    <row r="38" spans="1:8" ht="20.100000000000001" customHeight="1">
      <c r="A38" s="118" t="s">
        <v>1686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One Thousand Ninety-Two and 15/100 -----------</v>
      </c>
      <c r="C38" s="202"/>
      <c r="D38" s="119"/>
      <c r="E38" s="119"/>
      <c r="F38" s="119"/>
      <c r="G38" s="119"/>
      <c r="H38" s="119"/>
    </row>
    <row r="39" spans="1:8">
      <c r="A39" s="120"/>
    </row>
    <row r="40" spans="1:8" ht="25.5">
      <c r="A40" s="111" t="s">
        <v>10</v>
      </c>
      <c r="F40" s="265" t="s">
        <v>2894</v>
      </c>
      <c r="G40" s="266"/>
      <c r="H40" s="267"/>
    </row>
    <row r="41" spans="1:8">
      <c r="A41" s="126"/>
    </row>
    <row r="43" spans="1:8">
      <c r="A43" s="111" t="s">
        <v>51</v>
      </c>
      <c r="D43" s="121"/>
      <c r="E43" s="121"/>
    </row>
    <row r="44" spans="1:8">
      <c r="A44" s="122"/>
      <c r="B44" s="122"/>
    </row>
    <row r="46" spans="1:8">
      <c r="A46" s="111" t="s">
        <v>8</v>
      </c>
      <c r="D46" s="111" t="s">
        <v>8</v>
      </c>
      <c r="F46" s="123" t="s">
        <v>7</v>
      </c>
      <c r="H46" s="124"/>
    </row>
    <row r="50" spans="1:8">
      <c r="A50" s="122" t="s">
        <v>51</v>
      </c>
      <c r="B50" s="122"/>
      <c r="D50" s="122" t="s">
        <v>51</v>
      </c>
      <c r="F50" s="122"/>
      <c r="G50" s="122"/>
      <c r="H50" s="122"/>
    </row>
    <row r="51" spans="1:8" s="3" customFormat="1" ht="17.100000000000001" customHeight="1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</row>
    <row r="52" spans="1:8">
      <c r="A52" s="151"/>
      <c r="F52" s="111" t="s">
        <v>2</v>
      </c>
    </row>
    <row r="54" spans="1:8">
      <c r="F54" s="2" t="s">
        <v>1</v>
      </c>
    </row>
    <row r="55" spans="1:8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Sheet162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 t="s">
        <v>1569</v>
      </c>
      <c r="B9" s="111"/>
      <c r="C9" s="111"/>
      <c r="D9" s="112" t="s">
        <v>1127</v>
      </c>
      <c r="E9" s="111" t="s">
        <v>1993</v>
      </c>
      <c r="F9" s="111"/>
    </row>
    <row r="10" spans="1:6">
      <c r="A10" s="111" t="s">
        <v>1570</v>
      </c>
      <c r="B10" s="111"/>
      <c r="C10" s="111"/>
      <c r="D10" s="112" t="s">
        <v>1162</v>
      </c>
      <c r="E10" s="112" t="s">
        <v>1991</v>
      </c>
      <c r="F10" s="111"/>
    </row>
    <row r="11" spans="1:6">
      <c r="A11" s="111" t="s">
        <v>1571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1572</v>
      </c>
      <c r="B12" s="111"/>
      <c r="C12" s="111"/>
      <c r="D12" s="112" t="s">
        <v>1135</v>
      </c>
      <c r="E12" s="112" t="s">
        <v>1994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C18" s="168" t="s">
        <v>1995</v>
      </c>
      <c r="D18" s="111"/>
      <c r="E18" s="111"/>
      <c r="F18" s="111"/>
    </row>
    <row r="19" spans="1:6">
      <c r="C19" s="2" t="s">
        <v>1996</v>
      </c>
    </row>
    <row r="20" spans="1:6">
      <c r="A20" s="111"/>
      <c r="B20" s="116"/>
    </row>
    <row r="21" spans="1:6">
      <c r="A21" s="116"/>
      <c r="B21" s="116"/>
      <c r="C21" s="111" t="s">
        <v>1712</v>
      </c>
      <c r="D21" s="111"/>
      <c r="E21" s="111"/>
      <c r="F21" s="111">
        <v>30638</v>
      </c>
    </row>
    <row r="22" spans="1:6">
      <c r="A22" s="116"/>
      <c r="B22" s="120"/>
      <c r="C22" s="111"/>
      <c r="D22" s="111"/>
      <c r="E22" s="111"/>
      <c r="F22" s="111"/>
    </row>
    <row r="23" spans="1:6">
      <c r="A23" s="116"/>
      <c r="B23" s="120"/>
      <c r="C23" s="111"/>
      <c r="D23" s="111"/>
      <c r="E23" s="111"/>
      <c r="F23" s="111"/>
    </row>
    <row r="24" spans="1:6">
      <c r="A24" s="116"/>
      <c r="B24" s="120"/>
      <c r="C24" s="111"/>
      <c r="D24" s="111"/>
      <c r="E24" s="111"/>
      <c r="F24" s="111"/>
    </row>
    <row r="25" spans="1:6">
      <c r="A25" s="116"/>
      <c r="B25" s="120"/>
      <c r="C25" s="111"/>
      <c r="D25" s="111"/>
      <c r="E25" s="111"/>
      <c r="F25" s="111"/>
    </row>
    <row r="26" spans="1:6">
      <c r="A26" s="116"/>
      <c r="B26" s="120"/>
      <c r="C26" s="111"/>
      <c r="D26" s="111"/>
      <c r="E26" s="111"/>
      <c r="F26" s="111"/>
    </row>
    <row r="27" spans="1:6">
      <c r="A27" s="116"/>
      <c r="B27" s="120"/>
      <c r="C27" s="111"/>
      <c r="D27" s="111"/>
      <c r="E27" s="111"/>
      <c r="F27" s="111"/>
    </row>
    <row r="28" spans="1:6">
      <c r="A28" s="116"/>
      <c r="B28" s="120"/>
      <c r="C28" s="111"/>
      <c r="D28" s="111"/>
      <c r="E28" s="111"/>
      <c r="F28" s="111"/>
    </row>
    <row r="29" spans="1:6">
      <c r="A29" s="116"/>
      <c r="B29" s="120"/>
      <c r="C29" s="111"/>
      <c r="D29" s="111"/>
      <c r="E29" s="111"/>
      <c r="F29" s="111"/>
    </row>
    <row r="30" spans="1:6">
      <c r="A30" s="116"/>
      <c r="B30" s="120"/>
      <c r="C30" s="167"/>
      <c r="D30" s="167"/>
      <c r="E30" s="167"/>
      <c r="F30" s="167"/>
    </row>
    <row r="31" spans="1:6">
      <c r="A31" s="116"/>
      <c r="B31" s="120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30638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1997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B42" s="111"/>
      <c r="C42" s="111"/>
      <c r="D42" s="111"/>
      <c r="E42" s="111"/>
      <c r="F42" s="111"/>
    </row>
    <row r="43" spans="1:6">
      <c r="A43" s="123" t="s">
        <v>8</v>
      </c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Sheet83">
    <pageSetUpPr fitToPage="1"/>
  </sheetPr>
  <dimension ref="A1:F51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93</v>
      </c>
    </row>
    <row r="10" spans="1:6">
      <c r="A10" s="1" t="s">
        <v>92</v>
      </c>
      <c r="D10" s="21" t="s">
        <v>21</v>
      </c>
      <c r="E10" s="21" t="s">
        <v>91</v>
      </c>
    </row>
    <row r="11" spans="1:6">
      <c r="A11" s="1" t="s">
        <v>90</v>
      </c>
      <c r="D11" s="21" t="s">
        <v>19</v>
      </c>
      <c r="E11" s="21" t="s">
        <v>18</v>
      </c>
    </row>
    <row r="12" spans="1:6">
      <c r="A12" s="1" t="s">
        <v>89</v>
      </c>
      <c r="D12" s="21" t="s">
        <v>17</v>
      </c>
      <c r="E12" s="21" t="s">
        <v>88</v>
      </c>
    </row>
    <row r="13" spans="1:6">
      <c r="A13" s="1" t="s">
        <v>87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0" spans="1:6">
      <c r="C20" s="13"/>
    </row>
    <row r="21" spans="1:6">
      <c r="A21" s="1" t="s">
        <v>86</v>
      </c>
      <c r="C21" s="13" t="s">
        <v>85</v>
      </c>
      <c r="F21" s="1">
        <v>17900</v>
      </c>
    </row>
    <row r="22" spans="1:6">
      <c r="C22" s="13" t="s">
        <v>84</v>
      </c>
    </row>
    <row r="24" spans="1:6">
      <c r="C24" s="13"/>
    </row>
    <row r="25" spans="1:6">
      <c r="B25" s="8"/>
      <c r="C25" s="13"/>
    </row>
    <row r="26" spans="1:6">
      <c r="B26" s="8"/>
    </row>
    <row r="27" spans="1:6">
      <c r="B27" s="8"/>
    </row>
    <row r="31" spans="1:6" ht="13.5" thickBot="1">
      <c r="F31" s="12">
        <f>SUM(F18:F30)</f>
        <v>17900</v>
      </c>
    </row>
    <row r="32" spans="1:6" ht="13.5" thickTop="1"/>
    <row r="33" spans="1:6" ht="13.5" thickBot="1">
      <c r="F33" s="12">
        <f>SUM(F20:F32)</f>
        <v>35800</v>
      </c>
    </row>
    <row r="34" spans="1:6" ht="20.100000000000001" customHeight="1" thickTop="1">
      <c r="A34" s="10" t="s">
        <v>83</v>
      </c>
      <c r="B34" s="10"/>
      <c r="C34" s="9"/>
      <c r="D34" s="9"/>
      <c r="E34" s="9"/>
      <c r="F34" s="9"/>
    </row>
    <row r="35" spans="1:6">
      <c r="A35" s="8"/>
    </row>
    <row r="36" spans="1:6">
      <c r="A36" s="1" t="s">
        <v>10</v>
      </c>
    </row>
    <row r="39" spans="1:6" ht="25.5">
      <c r="A39" s="3" t="s">
        <v>9</v>
      </c>
      <c r="C39" s="7"/>
      <c r="D39" s="265" t="s">
        <v>2894</v>
      </c>
      <c r="E39" s="266"/>
      <c r="F39" s="267"/>
    </row>
    <row r="42" spans="1:6">
      <c r="A42" s="6" t="s">
        <v>8</v>
      </c>
      <c r="D42" s="6" t="s">
        <v>7</v>
      </c>
      <c r="F42" s="5"/>
    </row>
    <row r="46" spans="1:6">
      <c r="A46" s="1" t="s">
        <v>6</v>
      </c>
      <c r="D46" s="1" t="s">
        <v>5</v>
      </c>
    </row>
    <row r="47" spans="1:6" s="3" customFormat="1" ht="17.100000000000001" customHeight="1">
      <c r="A47" s="4" t="s">
        <v>4</v>
      </c>
      <c r="B47" s="4"/>
      <c r="D47" s="3" t="s">
        <v>3</v>
      </c>
    </row>
    <row r="48" spans="1:6">
      <c r="D48" s="1" t="s">
        <v>2</v>
      </c>
    </row>
    <row r="50" spans="1:4">
      <c r="A50" s="273" t="s">
        <v>2948</v>
      </c>
      <c r="D50" s="2" t="s">
        <v>1</v>
      </c>
    </row>
    <row r="51" spans="1:4">
      <c r="D51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Sheet94">
    <pageSetUpPr fitToPage="1"/>
  </sheetPr>
  <dimension ref="A1:F52"/>
  <sheetViews>
    <sheetView view="pageBreakPreview" zoomScale="60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19.7109375" style="1" customWidth="1"/>
    <col min="4" max="4" width="10.85546875" style="1" customWidth="1"/>
    <col min="5" max="5" width="10.140625" style="1" customWidth="1"/>
    <col min="6" max="6" width="17.570312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102</v>
      </c>
    </row>
    <row r="10" spans="1:6">
      <c r="A10" s="1" t="s">
        <v>101</v>
      </c>
      <c r="D10" s="21" t="s">
        <v>21</v>
      </c>
      <c r="E10" s="21" t="s">
        <v>100</v>
      </c>
    </row>
    <row r="11" spans="1:6">
      <c r="A11" s="1" t="s">
        <v>99</v>
      </c>
      <c r="D11" s="21" t="s">
        <v>19</v>
      </c>
      <c r="E11" s="21" t="s">
        <v>18</v>
      </c>
    </row>
    <row r="12" spans="1:6">
      <c r="A12" s="1" t="s">
        <v>98</v>
      </c>
      <c r="D12" s="21" t="s">
        <v>17</v>
      </c>
      <c r="E12" s="20" t="s">
        <v>97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3"/>
    </row>
    <row r="20" spans="1:6">
      <c r="C20" s="13"/>
    </row>
    <row r="24" spans="1:6">
      <c r="A24" s="1" t="s">
        <v>96</v>
      </c>
      <c r="C24" s="1" t="s">
        <v>95</v>
      </c>
      <c r="F24" s="1">
        <v>103.9</v>
      </c>
    </row>
    <row r="33" spans="1:6" ht="13.5" thickBot="1">
      <c r="F33" s="12">
        <f>SUM(F20:F32)</f>
        <v>103.9</v>
      </c>
    </row>
    <row r="34" spans="1:6" ht="13.5" thickTop="1"/>
    <row r="35" spans="1:6" ht="20.100000000000001" customHeight="1">
      <c r="A35" s="10" t="s">
        <v>94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Sheet74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1001</v>
      </c>
    </row>
    <row r="10" spans="1:6">
      <c r="A10" s="1" t="s">
        <v>1000</v>
      </c>
      <c r="D10" s="21" t="s">
        <v>21</v>
      </c>
      <c r="E10" s="21" t="s">
        <v>489</v>
      </c>
    </row>
    <row r="11" spans="1:6">
      <c r="D11" s="21" t="s">
        <v>19</v>
      </c>
      <c r="E11" s="21" t="s">
        <v>18</v>
      </c>
    </row>
    <row r="12" spans="1:6">
      <c r="D12" s="21" t="s">
        <v>17</v>
      </c>
      <c r="E12" s="21" t="s">
        <v>999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20" spans="2:6">
      <c r="C20" s="14" t="s">
        <v>998</v>
      </c>
    </row>
    <row r="21" spans="2:6">
      <c r="C21" s="14" t="s">
        <v>997</v>
      </c>
    </row>
    <row r="23" spans="2:6">
      <c r="C23" s="1" t="s">
        <v>996</v>
      </c>
    </row>
    <row r="24" spans="2:6">
      <c r="C24" s="1" t="s">
        <v>995</v>
      </c>
      <c r="F24" s="1">
        <v>1000</v>
      </c>
    </row>
    <row r="25" spans="2:6">
      <c r="C25" s="13" t="s">
        <v>994</v>
      </c>
      <c r="F25" s="1">
        <v>1000</v>
      </c>
    </row>
    <row r="26" spans="2:6">
      <c r="C26" s="13"/>
    </row>
    <row r="27" spans="2:6">
      <c r="C27" s="13"/>
    </row>
    <row r="29" spans="2:6">
      <c r="B29" s="8"/>
    </row>
    <row r="30" spans="2:6">
      <c r="B30" s="8"/>
    </row>
    <row r="31" spans="2:6">
      <c r="B31" s="8"/>
    </row>
    <row r="33" spans="1:6" ht="13.5" thickBot="1">
      <c r="F33" s="12">
        <f>SUM(F20:F32)</f>
        <v>2000</v>
      </c>
    </row>
    <row r="34" spans="1:6" ht="13.5" thickTop="1"/>
    <row r="35" spans="1:6" ht="20.100000000000001" customHeight="1">
      <c r="A35" s="10" t="s">
        <v>311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Sheet76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1013</v>
      </c>
    </row>
    <row r="10" spans="1:6">
      <c r="A10" s="1" t="s">
        <v>1012</v>
      </c>
      <c r="D10" s="21" t="s">
        <v>21</v>
      </c>
      <c r="E10" s="21" t="s">
        <v>1011</v>
      </c>
    </row>
    <row r="11" spans="1:6">
      <c r="A11" s="1" t="s">
        <v>1010</v>
      </c>
      <c r="D11" s="21" t="s">
        <v>19</v>
      </c>
      <c r="E11" s="21" t="s">
        <v>18</v>
      </c>
    </row>
    <row r="12" spans="1:6">
      <c r="A12" s="1" t="s">
        <v>1009</v>
      </c>
      <c r="D12" s="21" t="s">
        <v>17</v>
      </c>
      <c r="E12" s="20" t="s">
        <v>1008</v>
      </c>
    </row>
    <row r="13" spans="1:6">
      <c r="A13" s="1" t="s">
        <v>1007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20" spans="1:6">
      <c r="B20" s="8"/>
      <c r="C20" s="13"/>
    </row>
    <row r="21" spans="1:6">
      <c r="B21" s="8"/>
      <c r="C21" s="13"/>
    </row>
    <row r="22" spans="1:6">
      <c r="B22" s="8"/>
    </row>
    <row r="23" spans="1:6">
      <c r="A23" s="1" t="s">
        <v>1006</v>
      </c>
      <c r="B23" s="8"/>
      <c r="C23" s="1" t="s">
        <v>1005</v>
      </c>
      <c r="F23" s="1">
        <v>730.2</v>
      </c>
    </row>
    <row r="24" spans="1:6">
      <c r="B24" s="8"/>
      <c r="C24" s="8" t="s">
        <v>1004</v>
      </c>
    </row>
    <row r="25" spans="1:6">
      <c r="B25" s="8"/>
      <c r="C25" s="1" t="s">
        <v>1003</v>
      </c>
    </row>
    <row r="26" spans="1:6">
      <c r="B26" s="8"/>
    </row>
    <row r="27" spans="1:6">
      <c r="B27" s="8"/>
      <c r="C27" s="13"/>
    </row>
    <row r="28" spans="1:6">
      <c r="B28" s="8"/>
    </row>
    <row r="29" spans="1:6">
      <c r="B29" s="8"/>
    </row>
    <row r="30" spans="1:6">
      <c r="B30" s="8"/>
    </row>
    <row r="31" spans="1:6">
      <c r="B31" s="8"/>
    </row>
    <row r="33" spans="1:6" ht="13.5" thickBot="1">
      <c r="F33" s="12">
        <f>SUM(F20:F32)</f>
        <v>730.2</v>
      </c>
    </row>
    <row r="34" spans="1:6" ht="13.5" thickTop="1"/>
    <row r="35" spans="1:6" ht="20.100000000000001" customHeight="1">
      <c r="A35" s="10" t="s">
        <v>1002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Sheet102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1023</v>
      </c>
    </row>
    <row r="10" spans="1:6">
      <c r="A10" s="1" t="s">
        <v>1022</v>
      </c>
      <c r="D10" s="21" t="s">
        <v>21</v>
      </c>
      <c r="E10" s="21" t="s">
        <v>20</v>
      </c>
    </row>
    <row r="11" spans="1:6">
      <c r="A11" s="1" t="s">
        <v>1021</v>
      </c>
      <c r="D11" s="21" t="s">
        <v>19</v>
      </c>
      <c r="E11" s="21" t="s">
        <v>18</v>
      </c>
    </row>
    <row r="12" spans="1:6">
      <c r="A12" s="1" t="s">
        <v>1020</v>
      </c>
      <c r="D12" s="21" t="s">
        <v>17</v>
      </c>
      <c r="E12" s="20" t="s">
        <v>1019</v>
      </c>
    </row>
    <row r="13" spans="1:6">
      <c r="A13" s="1" t="s">
        <v>1018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1:6">
      <c r="C19" s="13"/>
    </row>
    <row r="20" spans="1:6">
      <c r="C20" s="14" t="s">
        <v>1017</v>
      </c>
    </row>
    <row r="21" spans="1:6">
      <c r="C21" s="13"/>
    </row>
    <row r="22" spans="1:6">
      <c r="C22" s="13"/>
    </row>
    <row r="23" spans="1:6">
      <c r="A23" s="13" t="s">
        <v>1016</v>
      </c>
      <c r="C23" s="13" t="s">
        <v>1015</v>
      </c>
      <c r="F23" s="1">
        <v>900</v>
      </c>
    </row>
    <row r="25" spans="1:6">
      <c r="C25" s="13"/>
    </row>
    <row r="26" spans="1:6">
      <c r="C26" s="13"/>
    </row>
    <row r="27" spans="1:6">
      <c r="C27" s="13"/>
      <c r="F27" s="14"/>
    </row>
    <row r="28" spans="1:6">
      <c r="B28" s="8"/>
    </row>
    <row r="29" spans="1:6">
      <c r="B29" s="8"/>
    </row>
    <row r="31" spans="1:6" ht="13.5" thickBot="1">
      <c r="F31" s="33">
        <f>SUM(F19:F30)</f>
        <v>900</v>
      </c>
    </row>
    <row r="32" spans="1:6" ht="13.5" thickTop="1"/>
    <row r="33" spans="1:6" ht="20.100000000000001" customHeight="1" thickBot="1">
      <c r="A33" s="11" t="s">
        <v>1014</v>
      </c>
      <c r="B33" s="10"/>
      <c r="C33" s="9"/>
      <c r="D33" s="9"/>
      <c r="E33" s="9"/>
      <c r="F33" s="12">
        <f>SUM(F20:F32)</f>
        <v>1800</v>
      </c>
    </row>
    <row r="34" spans="1:6" ht="13.5" thickTop="1">
      <c r="A34" s="8"/>
    </row>
    <row r="35" spans="1:6">
      <c r="A35" s="1" t="s">
        <v>10</v>
      </c>
    </row>
    <row r="38" spans="1:6">
      <c r="A38" s="1" t="s">
        <v>9</v>
      </c>
      <c r="C38" s="7"/>
    </row>
    <row r="39" spans="1:6" ht="25.5">
      <c r="A39" s="3"/>
      <c r="D39" s="265" t="s">
        <v>2894</v>
      </c>
      <c r="E39" s="266"/>
      <c r="F39" s="267"/>
    </row>
    <row r="41" spans="1:6">
      <c r="A41" s="6" t="s">
        <v>8</v>
      </c>
      <c r="D41" s="6" t="s">
        <v>7</v>
      </c>
      <c r="F41" s="5"/>
    </row>
    <row r="45" spans="1:6">
      <c r="A45" s="1" t="s">
        <v>6</v>
      </c>
      <c r="D45" s="1" t="s">
        <v>5</v>
      </c>
    </row>
    <row r="46" spans="1:6" s="3" customFormat="1" ht="17.100000000000001" customHeight="1">
      <c r="A46" s="4" t="s">
        <v>4</v>
      </c>
      <c r="B46" s="4"/>
      <c r="D46" s="3" t="s">
        <v>3</v>
      </c>
    </row>
    <row r="47" spans="1:6">
      <c r="D47" s="1" t="s">
        <v>2</v>
      </c>
    </row>
    <row r="49" spans="1:4">
      <c r="D49" s="84" t="s">
        <v>1</v>
      </c>
    </row>
    <row r="50" spans="1:4">
      <c r="A50" s="273" t="s">
        <v>2948</v>
      </c>
      <c r="D50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Sheet105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1032</v>
      </c>
    </row>
    <row r="10" spans="1:6">
      <c r="A10" s="1" t="s">
        <v>1031</v>
      </c>
      <c r="D10" s="21" t="s">
        <v>21</v>
      </c>
      <c r="E10" s="21" t="s">
        <v>1011</v>
      </c>
    </row>
    <row r="11" spans="1:6">
      <c r="A11" s="1" t="s">
        <v>1030</v>
      </c>
      <c r="D11" s="21" t="s">
        <v>19</v>
      </c>
      <c r="E11" s="21" t="s">
        <v>18</v>
      </c>
    </row>
    <row r="12" spans="1:6">
      <c r="D12" s="21" t="s">
        <v>17</v>
      </c>
      <c r="E12" s="20" t="s">
        <v>1029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21" spans="1:6">
      <c r="C21" s="14" t="s">
        <v>1028</v>
      </c>
    </row>
    <row r="22" spans="1:6">
      <c r="C22" s="14" t="s">
        <v>1027</v>
      </c>
    </row>
    <row r="23" spans="1:6">
      <c r="C23" s="13"/>
    </row>
    <row r="24" spans="1:6">
      <c r="C24" s="1" t="s">
        <v>1026</v>
      </c>
      <c r="F24" s="1">
        <v>221.41</v>
      </c>
    </row>
    <row r="25" spans="1:6">
      <c r="C25" s="13" t="s">
        <v>1025</v>
      </c>
    </row>
    <row r="27" spans="1:6">
      <c r="B27" s="8"/>
    </row>
    <row r="28" spans="1:6">
      <c r="B28" s="8"/>
    </row>
    <row r="30" spans="1:6" ht="13.5" thickBot="1">
      <c r="F30" s="33">
        <f>SUM(F21:F29)</f>
        <v>221.41</v>
      </c>
    </row>
    <row r="31" spans="1:6" ht="13.5" thickTop="1"/>
    <row r="32" spans="1:6" ht="20.100000000000001" customHeight="1">
      <c r="A32" s="10" t="s">
        <v>1024</v>
      </c>
      <c r="B32" s="10"/>
      <c r="C32" s="9"/>
      <c r="D32" s="9"/>
      <c r="E32" s="9"/>
    </row>
    <row r="33" spans="1:6" ht="13.5" thickBot="1">
      <c r="A33" s="8"/>
      <c r="F33" s="260">
        <f>SUM(F20:F32)</f>
        <v>442.82</v>
      </c>
    </row>
    <row r="34" spans="1:6" ht="13.5" thickTop="1">
      <c r="A34" s="1" t="s">
        <v>10</v>
      </c>
    </row>
    <row r="37" spans="1:6">
      <c r="A37" s="1" t="s">
        <v>9</v>
      </c>
      <c r="C37" s="7"/>
    </row>
    <row r="39" spans="1:6" ht="25.5">
      <c r="A39" s="3"/>
      <c r="D39" s="265" t="s">
        <v>2894</v>
      </c>
      <c r="E39" s="266"/>
      <c r="F39" s="267"/>
    </row>
    <row r="40" spans="1:6">
      <c r="A40" s="6" t="s">
        <v>8</v>
      </c>
      <c r="D40" s="6" t="s">
        <v>7</v>
      </c>
      <c r="F40" s="5"/>
    </row>
    <row r="44" spans="1:6">
      <c r="A44" s="1" t="s">
        <v>6</v>
      </c>
      <c r="D44" s="1" t="s">
        <v>5</v>
      </c>
    </row>
    <row r="45" spans="1:6" s="3" customFormat="1" ht="17.100000000000001" customHeight="1">
      <c r="A45" s="4" t="s">
        <v>4</v>
      </c>
      <c r="B45" s="4"/>
      <c r="D45" s="3" t="s">
        <v>3</v>
      </c>
    </row>
    <row r="46" spans="1:6">
      <c r="D46" s="1" t="s">
        <v>2</v>
      </c>
    </row>
    <row r="48" spans="1:6">
      <c r="D48" s="84" t="s">
        <v>1</v>
      </c>
    </row>
    <row r="49" spans="1:4">
      <c r="D49" s="84" t="s">
        <v>0</v>
      </c>
    </row>
    <row r="50" spans="1:4">
      <c r="A50" s="273" t="s">
        <v>2948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Sheet106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1044</v>
      </c>
    </row>
    <row r="10" spans="1:6">
      <c r="A10" s="13" t="s">
        <v>1043</v>
      </c>
      <c r="D10" s="21" t="s">
        <v>21</v>
      </c>
      <c r="E10" s="21" t="s">
        <v>318</v>
      </c>
    </row>
    <row r="11" spans="1:6">
      <c r="A11" s="13" t="s">
        <v>1042</v>
      </c>
      <c r="D11" s="21" t="s">
        <v>19</v>
      </c>
      <c r="E11" s="21" t="s">
        <v>18</v>
      </c>
    </row>
    <row r="12" spans="1:6">
      <c r="A12" s="8" t="s">
        <v>1041</v>
      </c>
      <c r="D12" s="21" t="s">
        <v>17</v>
      </c>
      <c r="E12" s="20" t="s">
        <v>1040</v>
      </c>
    </row>
    <row r="13" spans="1:6">
      <c r="A13" s="1" t="s">
        <v>1039</v>
      </c>
    </row>
    <row r="14" spans="1:6">
      <c r="A14" s="1" t="s">
        <v>1034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1:6">
      <c r="C19" s="13"/>
    </row>
    <row r="20" spans="1:6">
      <c r="C20" s="14" t="s">
        <v>1038</v>
      </c>
      <c r="F20" s="13"/>
    </row>
    <row r="21" spans="1:6">
      <c r="C21" s="14" t="s">
        <v>1037</v>
      </c>
    </row>
    <row r="23" spans="1:6">
      <c r="A23" s="13" t="s">
        <v>1036</v>
      </c>
      <c r="C23" s="13" t="s">
        <v>1035</v>
      </c>
      <c r="F23" s="1">
        <v>2400</v>
      </c>
    </row>
    <row r="24" spans="1:6">
      <c r="A24" s="13" t="s">
        <v>1034</v>
      </c>
      <c r="C24" s="13" t="s">
        <v>1033</v>
      </c>
    </row>
    <row r="25" spans="1:6">
      <c r="C25" s="13"/>
    </row>
    <row r="26" spans="1:6">
      <c r="C26" s="13"/>
    </row>
    <row r="27" spans="1:6">
      <c r="C27" s="13"/>
    </row>
    <row r="29" spans="1:6">
      <c r="B29" s="8"/>
    </row>
    <row r="30" spans="1:6">
      <c r="B30" s="8"/>
    </row>
    <row r="31" spans="1:6">
      <c r="B31" s="8"/>
    </row>
    <row r="33" spans="1:6" ht="13.5" thickBot="1">
      <c r="F33" s="12">
        <f>SUM(F20:F32)</f>
        <v>2400</v>
      </c>
    </row>
    <row r="34" spans="1:6" ht="13.5" thickTop="1"/>
    <row r="35" spans="1:6" ht="20.100000000000001" customHeight="1">
      <c r="A35" s="11" t="s">
        <v>399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1AD0-0AAA-4E07-AE63-FD6E4AD3F626}">
  <sheetPr codeName="Sheet607"/>
  <dimension ref="A1:H52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" style="483" customWidth="1"/>
    <col min="2" max="2" width="13.7109375" style="483" customWidth="1"/>
    <col min="3" max="3" width="1.28515625" style="483" customWidth="1"/>
    <col min="4" max="4" width="19.85546875" style="483" customWidth="1"/>
    <col min="5" max="5" width="1.5703125" style="483" customWidth="1"/>
    <col min="6" max="6" width="13.28515625" style="483" customWidth="1"/>
    <col min="7" max="7" width="10.140625" style="483" customWidth="1"/>
    <col min="8" max="8" width="13.28515625" style="483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483" t="s">
        <v>24</v>
      </c>
      <c r="F8" s="22" t="s">
        <v>23</v>
      </c>
    </row>
    <row r="9" spans="1:8">
      <c r="A9" s="483" t="s">
        <v>6738</v>
      </c>
      <c r="F9" s="484" t="s">
        <v>1110</v>
      </c>
      <c r="G9" s="489" t="s">
        <v>6827</v>
      </c>
    </row>
    <row r="10" spans="1:8">
      <c r="A10" s="483" t="s">
        <v>6739</v>
      </c>
      <c r="F10" s="484" t="s">
        <v>1685</v>
      </c>
      <c r="G10" s="489" t="s">
        <v>6819</v>
      </c>
    </row>
    <row r="11" spans="1:8">
      <c r="A11" s="483" t="s">
        <v>6740</v>
      </c>
      <c r="F11" s="484" t="s">
        <v>1163</v>
      </c>
      <c r="G11" s="489" t="s">
        <v>1094</v>
      </c>
    </row>
    <row r="12" spans="1:8">
      <c r="A12" s="483" t="s">
        <v>6741</v>
      </c>
      <c r="F12" s="484" t="s">
        <v>1188</v>
      </c>
      <c r="G12" s="486" t="s">
        <v>6828</v>
      </c>
    </row>
    <row r="13" spans="1:8">
      <c r="G13" s="488" t="s">
        <v>5914</v>
      </c>
    </row>
    <row r="16" spans="1:8" s="15" customFormat="1" ht="20.100000000000001" customHeight="1">
      <c r="A16" s="515" t="s">
        <v>1097</v>
      </c>
      <c r="B16" s="515" t="s">
        <v>1098</v>
      </c>
      <c r="C16" s="515"/>
      <c r="D16" s="19" t="s">
        <v>14</v>
      </c>
      <c r="E16" s="19"/>
      <c r="F16" s="18"/>
      <c r="G16" s="17"/>
      <c r="H16" s="16" t="s">
        <v>13</v>
      </c>
    </row>
    <row r="17" spans="1:8">
      <c r="A17" s="173"/>
    </row>
    <row r="18" spans="1:8">
      <c r="D18" s="482" t="s">
        <v>3657</v>
      </c>
      <c r="E18" s="482"/>
    </row>
    <row r="19" spans="1:8">
      <c r="A19" s="173"/>
      <c r="D19" s="482"/>
      <c r="E19" s="482"/>
    </row>
    <row r="20" spans="1:8">
      <c r="A20" s="485" t="s">
        <v>6829</v>
      </c>
      <c r="B20" s="485" t="s">
        <v>6830</v>
      </c>
      <c r="C20" s="485"/>
      <c r="D20" s="483" t="s">
        <v>6831</v>
      </c>
      <c r="H20" s="483">
        <v>800</v>
      </c>
    </row>
    <row r="21" spans="1:8">
      <c r="A21" s="484"/>
      <c r="D21" s="483" t="s">
        <v>6832</v>
      </c>
    </row>
    <row r="23" spans="1:8">
      <c r="A23" s="485"/>
      <c r="B23" s="485"/>
      <c r="C23" s="485"/>
    </row>
    <row r="24" spans="1:8">
      <c r="A24" s="484"/>
    </row>
    <row r="25" spans="1:8">
      <c r="A25" s="484"/>
    </row>
    <row r="26" spans="1:8">
      <c r="A26" s="485"/>
      <c r="B26" s="485"/>
      <c r="C26" s="485"/>
    </row>
    <row r="27" spans="1:8">
      <c r="A27" s="484"/>
    </row>
    <row r="29" spans="1:8">
      <c r="A29" s="485"/>
    </row>
    <row r="30" spans="1:8">
      <c r="A30" s="485"/>
      <c r="B30" s="1"/>
      <c r="C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73"/>
      <c r="H32" s="1"/>
    </row>
    <row r="33" spans="1:8" ht="13.5" thickBot="1">
      <c r="A33" s="173"/>
      <c r="H33" s="117">
        <f>SUM(H19:H31)</f>
        <v>800</v>
      </c>
    </row>
    <row r="34" spans="1:8" ht="13.5" thickTop="1">
      <c r="A34" s="173"/>
    </row>
    <row r="35" spans="1:8" ht="20.100000000000001" customHeight="1">
      <c r="A35" s="118" t="s">
        <v>1686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Eight Hundred and NO/100 -----------</v>
      </c>
      <c r="C35" s="202"/>
      <c r="D35" s="119"/>
      <c r="E35" s="119"/>
      <c r="F35" s="119"/>
      <c r="G35" s="119"/>
      <c r="H35" s="119"/>
    </row>
    <row r="36" spans="1:8">
      <c r="A36" s="486"/>
    </row>
    <row r="37" spans="1:8">
      <c r="A37" s="483" t="s">
        <v>10</v>
      </c>
    </row>
    <row r="38" spans="1:8" ht="25.5">
      <c r="F38" s="265" t="s">
        <v>2894</v>
      </c>
      <c r="G38" s="266"/>
      <c r="H38" s="267"/>
    </row>
    <row r="39" spans="1:8">
      <c r="F39" s="309"/>
      <c r="G39" s="309"/>
      <c r="H39" s="309"/>
    </row>
    <row r="40" spans="1:8">
      <c r="A40" s="483" t="s">
        <v>51</v>
      </c>
      <c r="D40" s="121"/>
      <c r="E40" s="121"/>
      <c r="F40" s="310"/>
      <c r="G40" s="311"/>
      <c r="H40" s="311"/>
    </row>
    <row r="41" spans="1:8">
      <c r="A41" s="35"/>
      <c r="B41" s="122"/>
    </row>
    <row r="43" spans="1:8">
      <c r="A43" s="483" t="s">
        <v>8</v>
      </c>
      <c r="D43" s="483" t="s">
        <v>8</v>
      </c>
      <c r="F43" s="487" t="s">
        <v>7</v>
      </c>
      <c r="H43" s="124"/>
    </row>
    <row r="47" spans="1:8">
      <c r="A47" s="122"/>
      <c r="B47" s="122"/>
      <c r="D47" s="122"/>
      <c r="F47" s="122"/>
      <c r="G47" s="122"/>
      <c r="H47" s="122"/>
    </row>
    <row r="48" spans="1:8" s="3" customFormat="1" ht="17.100000000000001" customHeight="1">
      <c r="A48" s="483" t="s">
        <v>2948</v>
      </c>
      <c r="B48" s="125"/>
      <c r="C48" s="125"/>
      <c r="D48" s="483" t="s">
        <v>103</v>
      </c>
      <c r="E48" s="126"/>
      <c r="F48" s="126" t="s">
        <v>3</v>
      </c>
      <c r="G48" s="126"/>
      <c r="H48" s="126"/>
    </row>
    <row r="49" spans="6:6">
      <c r="F49" s="483" t="s">
        <v>2</v>
      </c>
    </row>
    <row r="51" spans="6:6">
      <c r="F51" s="482" t="s">
        <v>1</v>
      </c>
    </row>
    <row r="52" spans="6:6">
      <c r="F52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Sheet254">
    <pageSetUpPr fitToPage="1"/>
  </sheetPr>
  <dimension ref="A1:G52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1.85546875" style="111" customWidth="1"/>
    <col min="3" max="3" width="21" style="111" customWidth="1"/>
    <col min="4" max="4" width="12.85546875" style="111" customWidth="1"/>
    <col min="5" max="5" width="8.28515625" style="111" customWidth="1"/>
    <col min="6" max="6" width="13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1123</v>
      </c>
      <c r="E9" s="111" t="s">
        <v>2240</v>
      </c>
    </row>
    <row r="10" spans="1:6">
      <c r="A10" s="111" t="s">
        <v>2242</v>
      </c>
      <c r="D10" s="112" t="s">
        <v>1124</v>
      </c>
      <c r="E10" s="112" t="s">
        <v>2238</v>
      </c>
    </row>
    <row r="11" spans="1:6">
      <c r="A11" s="111" t="s">
        <v>2243</v>
      </c>
      <c r="D11" s="112" t="s">
        <v>1125</v>
      </c>
      <c r="E11" s="112" t="s">
        <v>1094</v>
      </c>
    </row>
    <row r="12" spans="1:6">
      <c r="A12" s="111" t="s">
        <v>2244</v>
      </c>
      <c r="D12" s="112" t="s">
        <v>1096</v>
      </c>
      <c r="E12" s="112" t="s">
        <v>2241</v>
      </c>
    </row>
    <row r="13" spans="1:6">
      <c r="A13" s="111" t="s">
        <v>1154</v>
      </c>
    </row>
    <row r="14" spans="1:6">
      <c r="A14" s="111" t="s">
        <v>2245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7">
      <c r="C18" s="2" t="s">
        <v>2239</v>
      </c>
      <c r="G18" s="242"/>
    </row>
    <row r="20" spans="1:7">
      <c r="A20" s="116" t="s">
        <v>2246</v>
      </c>
      <c r="B20" s="116" t="s">
        <v>2247</v>
      </c>
      <c r="C20" s="120" t="s">
        <v>2248</v>
      </c>
      <c r="F20" s="111">
        <v>2700</v>
      </c>
    </row>
    <row r="21" spans="1:7">
      <c r="C21" s="111" t="s">
        <v>2249</v>
      </c>
    </row>
    <row r="27" spans="1:7">
      <c r="B27" s="120"/>
    </row>
    <row r="28" spans="1:7">
      <c r="A28" s="116"/>
      <c r="B28" s="116"/>
      <c r="C28" s="120"/>
    </row>
    <row r="33" spans="1:6" ht="13.5" thickBot="1">
      <c r="F33" s="117">
        <f>SUM(F20:F32)</f>
        <v>2700</v>
      </c>
    </row>
    <row r="34" spans="1:6" ht="13.5" thickTop="1"/>
    <row r="35" spans="1:6" ht="20.100000000000001" customHeight="1">
      <c r="A35" s="118" t="s">
        <v>1133</v>
      </c>
      <c r="B35" s="118" t="s">
        <v>2250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Sheet199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7109375" style="111" customWidth="1"/>
    <col min="2" max="2" width="13.7109375" style="111" customWidth="1"/>
    <col min="3" max="3" width="22.42578125" style="111" customWidth="1"/>
    <col min="4" max="4" width="13.140625" style="111" customWidth="1"/>
    <col min="5" max="5" width="8.855468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3002</v>
      </c>
    </row>
    <row r="10" spans="1:6">
      <c r="A10" s="111" t="s">
        <v>1756</v>
      </c>
      <c r="D10" s="112" t="s">
        <v>1685</v>
      </c>
      <c r="E10" s="111" t="s">
        <v>3001</v>
      </c>
    </row>
    <row r="11" spans="1:6">
      <c r="A11" s="111" t="s">
        <v>1757</v>
      </c>
      <c r="D11" s="112" t="s">
        <v>1187</v>
      </c>
      <c r="E11" s="111" t="s">
        <v>1094</v>
      </c>
    </row>
    <row r="12" spans="1:6">
      <c r="A12" s="111" t="s">
        <v>1758</v>
      </c>
      <c r="D12" s="112" t="s">
        <v>2148</v>
      </c>
      <c r="E12" s="120" t="s">
        <v>3003</v>
      </c>
    </row>
    <row r="16" spans="1:6" s="15" customFormat="1" ht="20.100000000000001" customHeight="1">
      <c r="A16" s="18" t="s">
        <v>1113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16"/>
      <c r="B18" s="116"/>
      <c r="C18" s="2" t="s">
        <v>3004</v>
      </c>
    </row>
    <row r="20" spans="1:6">
      <c r="A20" s="116" t="s">
        <v>3005</v>
      </c>
      <c r="B20" s="116" t="s">
        <v>3006</v>
      </c>
      <c r="C20" s="111" t="s">
        <v>3007</v>
      </c>
      <c r="F20" s="111">
        <v>161.6</v>
      </c>
    </row>
    <row r="22" spans="1:6">
      <c r="A22" s="116" t="s">
        <v>2984</v>
      </c>
      <c r="B22" s="116" t="s">
        <v>3008</v>
      </c>
      <c r="C22" s="111" t="s">
        <v>3009</v>
      </c>
      <c r="F22" s="111">
        <v>54.4</v>
      </c>
    </row>
    <row r="25" spans="1:6">
      <c r="A25" s="112"/>
      <c r="B25" s="157"/>
      <c r="F25" s="149"/>
    </row>
    <row r="26" spans="1:6">
      <c r="A26" s="148"/>
      <c r="B26" s="120"/>
    </row>
    <row r="27" spans="1:6">
      <c r="A27" s="148"/>
    </row>
    <row r="28" spans="1:6">
      <c r="A28" s="148"/>
    </row>
    <row r="33" spans="1:6" ht="13.5" thickBot="1">
      <c r="F33" s="127">
        <f>SUM(F20:F32)</f>
        <v>216</v>
      </c>
    </row>
    <row r="34" spans="1:6" ht="13.5" thickTop="1"/>
    <row r="35" spans="1:6" ht="20.100000000000001" customHeight="1">
      <c r="A35" s="118" t="s">
        <v>204</v>
      </c>
      <c r="B35" s="204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Hundred Sixteen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Sheet267">
    <pageSetUpPr fitToPage="1"/>
  </sheetPr>
  <dimension ref="A1:F55"/>
  <sheetViews>
    <sheetView workbookViewId="0">
      <selection activeCell="G9" sqref="G9:G13"/>
    </sheetView>
  </sheetViews>
  <sheetFormatPr defaultRowHeight="12.75"/>
  <cols>
    <col min="1" max="1" width="15.28515625" style="131" customWidth="1"/>
    <col min="2" max="2" width="14.42578125" style="131" customWidth="1"/>
    <col min="3" max="3" width="21" style="131" customWidth="1"/>
    <col min="4" max="4" width="13.5703125" style="131" customWidth="1"/>
    <col min="5" max="5" width="10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1090</v>
      </c>
      <c r="E9" s="147" t="s">
        <v>3039</v>
      </c>
    </row>
    <row r="10" spans="1:6">
      <c r="A10" s="131" t="s">
        <v>2298</v>
      </c>
      <c r="D10" s="132" t="s">
        <v>1162</v>
      </c>
      <c r="E10" s="212" t="s">
        <v>3038</v>
      </c>
    </row>
    <row r="11" spans="1:6">
      <c r="A11" s="131" t="s">
        <v>2299</v>
      </c>
      <c r="D11" s="132" t="s">
        <v>1163</v>
      </c>
      <c r="E11" s="212" t="s">
        <v>1094</v>
      </c>
    </row>
    <row r="12" spans="1:6">
      <c r="D12" s="132" t="s">
        <v>1096</v>
      </c>
      <c r="E12" s="212" t="s">
        <v>3040</v>
      </c>
    </row>
    <row r="16" spans="1:6" s="95" customFormat="1" ht="20.100000000000001" customHeight="1">
      <c r="A16" s="91" t="s">
        <v>1122</v>
      </c>
      <c r="B16" s="91" t="s">
        <v>1098</v>
      </c>
      <c r="C16" s="92" t="s">
        <v>14</v>
      </c>
      <c r="D16" s="90"/>
      <c r="E16" s="93"/>
      <c r="F16" s="94" t="s">
        <v>13</v>
      </c>
    </row>
    <row r="18" spans="1:6">
      <c r="A18" s="162"/>
      <c r="C18" s="110" t="s">
        <v>1330</v>
      </c>
    </row>
    <row r="19" spans="1:6">
      <c r="C19" s="110"/>
    </row>
    <row r="20" spans="1:6">
      <c r="C20" s="110" t="s">
        <v>3042</v>
      </c>
    </row>
    <row r="21" spans="1:6">
      <c r="C21" s="243"/>
    </row>
    <row r="22" spans="1:6">
      <c r="A22" s="244" t="s">
        <v>1761</v>
      </c>
      <c r="B22" s="245"/>
      <c r="C22" s="131" t="s">
        <v>2947</v>
      </c>
      <c r="F22" s="131">
        <f>860+129</f>
        <v>989</v>
      </c>
    </row>
    <row r="23" spans="1:6">
      <c r="A23" s="246" t="s">
        <v>3041</v>
      </c>
      <c r="B23" s="245"/>
      <c r="C23" s="131" t="s">
        <v>2237</v>
      </c>
      <c r="F23" s="131">
        <v>1879.6</v>
      </c>
    </row>
    <row r="24" spans="1:6">
      <c r="A24" s="162"/>
      <c r="B24" s="245"/>
      <c r="C24" s="131" t="s">
        <v>1583</v>
      </c>
      <c r="F24" s="131">
        <v>83.13</v>
      </c>
    </row>
    <row r="26" spans="1:6">
      <c r="A26" s="244"/>
      <c r="B26" s="140"/>
    </row>
    <row r="27" spans="1:6">
      <c r="A27" s="244"/>
      <c r="B27" s="140"/>
    </row>
    <row r="28" spans="1:6">
      <c r="A28" s="244"/>
      <c r="B28" s="140"/>
    </row>
    <row r="32" spans="1:6">
      <c r="A32" s="162"/>
    </row>
    <row r="36" spans="1:6" ht="13.5" thickBot="1">
      <c r="F36" s="164">
        <f>SUM(F18:F34)</f>
        <v>2951.73</v>
      </c>
    </row>
    <row r="37" spans="1:6" ht="13.5" thickTop="1"/>
    <row r="38" spans="1:6" ht="20.100000000000001" customHeight="1">
      <c r="A38" s="138" t="s">
        <v>204</v>
      </c>
      <c r="B38" s="204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Two Thousand Nine Hundred Fifty-One and 73/100 -----------</v>
      </c>
      <c r="C38" s="139"/>
      <c r="D38" s="139"/>
      <c r="E38" s="139"/>
      <c r="F38" s="139"/>
    </row>
    <row r="39" spans="1:6">
      <c r="A39" s="226" t="s">
        <v>11</v>
      </c>
    </row>
    <row r="40" spans="1:6" ht="25.5">
      <c r="A40" s="131" t="s">
        <v>10</v>
      </c>
      <c r="D40" s="265" t="s">
        <v>2894</v>
      </c>
      <c r="E40" s="266"/>
      <c r="F40" s="267"/>
    </row>
    <row r="43" spans="1:6">
      <c r="A43" s="131" t="s">
        <v>52</v>
      </c>
      <c r="C43" s="141"/>
    </row>
    <row r="44" spans="1:6">
      <c r="A44" s="142"/>
      <c r="B44" s="142"/>
    </row>
    <row r="46" spans="1:6">
      <c r="A46" s="143" t="s">
        <v>8</v>
      </c>
      <c r="D46" s="143" t="s">
        <v>7</v>
      </c>
      <c r="F46" s="144"/>
    </row>
    <row r="50" spans="1:6">
      <c r="A50" s="274"/>
      <c r="B50" s="142"/>
      <c r="D50" s="142"/>
      <c r="E50" s="142"/>
      <c r="F50" s="142"/>
    </row>
    <row r="51" spans="1:6" s="147" customFormat="1" ht="17.100000000000001" customHeight="1">
      <c r="A51" s="145" t="s">
        <v>2948</v>
      </c>
      <c r="B51" s="146"/>
      <c r="D51" s="147" t="s">
        <v>3</v>
      </c>
    </row>
    <row r="52" spans="1:6">
      <c r="D52" s="131" t="s">
        <v>2</v>
      </c>
    </row>
    <row r="54" spans="1:6">
      <c r="D54" s="110" t="s">
        <v>1</v>
      </c>
    </row>
    <row r="55" spans="1:6">
      <c r="D55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Sheet268">
    <pageSetUpPr fitToPage="1"/>
  </sheetPr>
  <dimension ref="A1:G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 t="s">
        <v>2322</v>
      </c>
      <c r="B9" s="111"/>
      <c r="C9" s="111"/>
      <c r="D9" s="112" t="s">
        <v>1127</v>
      </c>
      <c r="E9" s="131" t="s">
        <v>2437</v>
      </c>
      <c r="F9" s="111"/>
    </row>
    <row r="10" spans="1:6">
      <c r="A10" s="111" t="s">
        <v>2323</v>
      </c>
      <c r="B10" s="111"/>
      <c r="C10" s="111"/>
      <c r="D10" s="112" t="s">
        <v>1162</v>
      </c>
      <c r="E10" s="132" t="s">
        <v>2435</v>
      </c>
      <c r="F10" s="111"/>
    </row>
    <row r="11" spans="1:6">
      <c r="A11" s="111" t="s">
        <v>2324</v>
      </c>
      <c r="B11" s="111"/>
      <c r="C11" s="111"/>
      <c r="D11" s="112" t="s">
        <v>1163</v>
      </c>
      <c r="E11" s="132" t="s">
        <v>1094</v>
      </c>
      <c r="F11" s="111"/>
    </row>
    <row r="12" spans="1:6">
      <c r="A12" s="111" t="s">
        <v>2325</v>
      </c>
      <c r="B12" s="111"/>
      <c r="C12" s="111"/>
      <c r="D12" s="112" t="s">
        <v>1135</v>
      </c>
      <c r="E12" s="132" t="s">
        <v>1270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49" t="s">
        <v>2326</v>
      </c>
      <c r="D18" s="111"/>
      <c r="E18" s="111"/>
      <c r="F18" s="111"/>
    </row>
    <row r="19" spans="1:7">
      <c r="A19" s="116"/>
      <c r="B19" s="116"/>
      <c r="C19" s="120"/>
      <c r="D19" s="111"/>
      <c r="E19" s="111"/>
      <c r="F19" s="111"/>
      <c r="G19" s="111"/>
    </row>
    <row r="20" spans="1:7">
      <c r="A20" s="116"/>
      <c r="B20" s="116"/>
      <c r="C20" s="2" t="s">
        <v>2327</v>
      </c>
      <c r="D20" s="111"/>
      <c r="E20" s="111"/>
      <c r="F20" s="111"/>
      <c r="G20" s="111"/>
    </row>
    <row r="21" spans="1:7">
      <c r="A21" s="116"/>
      <c r="B21" s="120"/>
      <c r="C21" s="2" t="s">
        <v>2328</v>
      </c>
      <c r="G21" s="111"/>
    </row>
    <row r="22" spans="1:7">
      <c r="A22" s="116"/>
      <c r="B22" s="116"/>
      <c r="C22" s="120"/>
      <c r="D22" s="111"/>
      <c r="E22" s="111"/>
      <c r="F22" s="111"/>
      <c r="G22" s="111"/>
    </row>
    <row r="23" spans="1:7">
      <c r="A23" s="116"/>
      <c r="B23" s="116"/>
      <c r="C23" s="111" t="s">
        <v>2438</v>
      </c>
      <c r="D23" s="111"/>
      <c r="E23" s="111"/>
      <c r="F23" s="111">
        <v>55000.01</v>
      </c>
      <c r="G23" s="111"/>
    </row>
    <row r="24" spans="1:7">
      <c r="A24" s="116"/>
      <c r="B24" s="120"/>
      <c r="C24" s="111"/>
      <c r="D24" s="111"/>
      <c r="E24" s="111"/>
      <c r="F24" s="111"/>
      <c r="G24" s="111"/>
    </row>
    <row r="25" spans="1:7">
      <c r="A25" s="116"/>
      <c r="B25" s="120"/>
      <c r="C25" s="111" t="s">
        <v>1697</v>
      </c>
      <c r="D25" s="111"/>
      <c r="E25" s="111"/>
      <c r="F25" s="111">
        <v>30</v>
      </c>
      <c r="G25" s="111"/>
    </row>
    <row r="26" spans="1:7">
      <c r="A26" s="116"/>
      <c r="B26" s="120"/>
      <c r="C26" s="111"/>
      <c r="D26" s="111"/>
      <c r="E26" s="111"/>
      <c r="F26" s="111"/>
      <c r="G26" s="111"/>
    </row>
    <row r="27" spans="1:7">
      <c r="A27" s="116"/>
      <c r="B27" s="120"/>
      <c r="C27" s="111"/>
      <c r="D27" s="111"/>
      <c r="E27" s="111"/>
      <c r="F27" s="111"/>
      <c r="G27" s="111"/>
    </row>
    <row r="28" spans="1:7">
      <c r="A28" s="116"/>
      <c r="B28" s="120"/>
      <c r="C28" s="111"/>
      <c r="D28" s="111"/>
      <c r="E28" s="111"/>
      <c r="F28" s="111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1"/>
      <c r="B32" s="111"/>
      <c r="C32" s="111"/>
      <c r="D32" s="111"/>
      <c r="E32" s="111"/>
      <c r="G32" s="111"/>
    </row>
    <row r="33" spans="1:7" ht="13.5" thickBot="1">
      <c r="A33" s="111"/>
      <c r="B33" s="111"/>
      <c r="C33" s="111"/>
      <c r="D33" s="111"/>
      <c r="E33" s="111"/>
      <c r="F33" s="117">
        <f>SUM(F20:F32)</f>
        <v>55030.01</v>
      </c>
      <c r="G33" s="111"/>
    </row>
    <row r="34" spans="1:7" ht="13.5" thickTop="1">
      <c r="A34" s="111"/>
      <c r="B34" s="111"/>
      <c r="C34" s="111"/>
      <c r="D34" s="111"/>
      <c r="E34" s="111"/>
      <c r="F34" s="111"/>
      <c r="G34" s="111"/>
    </row>
    <row r="35" spans="1:7" ht="20.100000000000001" customHeight="1">
      <c r="A35" s="118" t="s">
        <v>1133</v>
      </c>
      <c r="B35" s="118" t="s">
        <v>2439</v>
      </c>
      <c r="C35" s="119"/>
      <c r="D35" s="119"/>
      <c r="E35" s="119"/>
      <c r="F35" s="119"/>
      <c r="G35" s="111"/>
    </row>
    <row r="36" spans="1:7">
      <c r="A36" s="120" t="s">
        <v>11</v>
      </c>
      <c r="B36" s="111"/>
      <c r="C36" s="111"/>
      <c r="D36" s="111"/>
      <c r="E36" s="111"/>
      <c r="F36" s="111"/>
    </row>
    <row r="37" spans="1:7">
      <c r="A37" s="111" t="s">
        <v>10</v>
      </c>
      <c r="B37" s="111"/>
      <c r="C37" s="111"/>
      <c r="D37" s="111"/>
      <c r="E37" s="111"/>
      <c r="F37" s="111"/>
    </row>
    <row r="38" spans="1:7">
      <c r="A38" s="111"/>
      <c r="B38" s="111"/>
      <c r="C38" s="111"/>
      <c r="D38" s="111"/>
      <c r="E38" s="111"/>
      <c r="F38" s="111"/>
    </row>
    <row r="39" spans="1:7" ht="25.5">
      <c r="A39" s="126"/>
      <c r="B39" s="111"/>
      <c r="C39" s="111"/>
      <c r="D39" s="265" t="s">
        <v>2894</v>
      </c>
      <c r="E39" s="266"/>
      <c r="F39" s="267"/>
    </row>
    <row r="40" spans="1:7">
      <c r="A40" s="111"/>
      <c r="B40" s="111"/>
      <c r="C40" s="121"/>
      <c r="D40" s="111"/>
      <c r="E40" s="111"/>
      <c r="F40" s="111"/>
    </row>
    <row r="41" spans="1:7">
      <c r="A41" s="122"/>
      <c r="B41" s="122"/>
      <c r="C41" s="111"/>
      <c r="D41" s="111"/>
      <c r="E41" s="111"/>
      <c r="F41" s="111"/>
    </row>
    <row r="42" spans="1:7">
      <c r="B42" s="111"/>
      <c r="C42" s="111"/>
      <c r="D42" s="111"/>
      <c r="E42" s="111"/>
      <c r="F42" s="111"/>
    </row>
    <row r="43" spans="1:7">
      <c r="A43" s="123" t="s">
        <v>8</v>
      </c>
      <c r="C43" s="111"/>
      <c r="D43" s="123" t="s">
        <v>7</v>
      </c>
      <c r="E43" s="111"/>
      <c r="F43" s="124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11"/>
      <c r="D45" s="111"/>
      <c r="E45" s="111"/>
      <c r="F45" s="111"/>
    </row>
    <row r="46" spans="1:7">
      <c r="A46" s="111"/>
      <c r="B46" s="111"/>
      <c r="C46" s="111"/>
      <c r="D46" s="111"/>
      <c r="E46" s="111"/>
      <c r="F46" s="111"/>
    </row>
    <row r="47" spans="1:7">
      <c r="A47" s="122"/>
      <c r="B47" s="122"/>
      <c r="C47" s="111"/>
      <c r="D47" s="122"/>
      <c r="E47" s="122"/>
      <c r="F47" s="122"/>
    </row>
    <row r="48" spans="1:7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Sheet269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16" style="111" customWidth="1"/>
    <col min="2" max="2" width="13.42578125" style="111" customWidth="1"/>
    <col min="3" max="3" width="21" style="111" customWidth="1"/>
    <col min="4" max="4" width="12.28515625" style="111" customWidth="1"/>
    <col min="5" max="5" width="9" style="111" customWidth="1"/>
    <col min="6" max="6" width="13.28515625" style="11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A9" s="111" t="s">
        <v>2566</v>
      </c>
      <c r="D9" s="112" t="s">
        <v>1110</v>
      </c>
      <c r="E9" s="147" t="s">
        <v>2564</v>
      </c>
    </row>
    <row r="10" spans="1:6">
      <c r="A10" s="111" t="s">
        <v>2567</v>
      </c>
      <c r="D10" s="112" t="s">
        <v>1685</v>
      </c>
      <c r="E10" s="212" t="s">
        <v>2563</v>
      </c>
    </row>
    <row r="11" spans="1:6">
      <c r="A11" s="111" t="s">
        <v>2568</v>
      </c>
      <c r="D11" s="112" t="s">
        <v>1163</v>
      </c>
      <c r="E11" s="212" t="s">
        <v>1094</v>
      </c>
    </row>
    <row r="12" spans="1:6">
      <c r="A12" s="111" t="s">
        <v>2569</v>
      </c>
      <c r="D12" s="112" t="s">
        <v>1135</v>
      </c>
      <c r="E12" s="212" t="s">
        <v>2565</v>
      </c>
    </row>
    <row r="13" spans="1:6">
      <c r="A13" s="111" t="s">
        <v>2570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73"/>
    </row>
    <row r="18" spans="1:6">
      <c r="C18" s="2" t="s">
        <v>2571</v>
      </c>
    </row>
    <row r="20" spans="1:6">
      <c r="A20" s="174" t="s">
        <v>2572</v>
      </c>
      <c r="B20" s="120" t="s">
        <v>2573</v>
      </c>
      <c r="C20" s="111" t="s">
        <v>2574</v>
      </c>
      <c r="F20" s="111">
        <v>3000</v>
      </c>
    </row>
    <row r="21" spans="1:6">
      <c r="B21" s="116"/>
      <c r="C21" s="2"/>
    </row>
    <row r="24" spans="1:6">
      <c r="A24" s="112"/>
    </row>
    <row r="25" spans="1:6">
      <c r="A25" s="175"/>
    </row>
    <row r="26" spans="1:6">
      <c r="A26" s="116"/>
      <c r="B26" s="116"/>
    </row>
    <row r="27" spans="1:6">
      <c r="A27" s="1"/>
      <c r="B27" s="1"/>
    </row>
    <row r="28" spans="1:6">
      <c r="A28" s="1"/>
      <c r="B28" s="1"/>
      <c r="C28" s="1"/>
      <c r="D28" s="1"/>
      <c r="E28" s="1"/>
      <c r="F28" s="1"/>
    </row>
    <row r="29" spans="1:6" ht="13.5" thickBot="1">
      <c r="A29" s="173"/>
      <c r="F29" s="117">
        <f>SUM(F20:F28)</f>
        <v>3000</v>
      </c>
    </row>
    <row r="30" spans="1:6" ht="13.5" thickTop="1">
      <c r="A30" s="173"/>
    </row>
    <row r="31" spans="1:6">
      <c r="A31" s="173"/>
    </row>
    <row r="32" spans="1:6" ht="20.100000000000001" customHeight="1">
      <c r="A32" s="118" t="s">
        <v>1686</v>
      </c>
      <c r="B32" s="202" t="s">
        <v>1863</v>
      </c>
      <c r="C32" s="119"/>
      <c r="D32" s="119"/>
      <c r="E32" s="119"/>
    </row>
    <row r="33" spans="1:6" ht="13.5" thickBot="1">
      <c r="A33" s="120"/>
      <c r="F33" s="259">
        <f>SUM(F20:F32)</f>
        <v>6000</v>
      </c>
    </row>
    <row r="34" spans="1:6" ht="13.5" thickTop="1">
      <c r="A34" s="111" t="s">
        <v>10</v>
      </c>
    </row>
    <row r="37" spans="1:6">
      <c r="A37" s="111" t="s">
        <v>51</v>
      </c>
      <c r="C37" s="121"/>
    </row>
    <row r="38" spans="1:6">
      <c r="A38" s="122"/>
      <c r="B38" s="122"/>
    </row>
    <row r="39" spans="1:6" ht="25.5">
      <c r="A39" s="126"/>
      <c r="D39" s="265" t="s">
        <v>2894</v>
      </c>
      <c r="E39" s="266"/>
      <c r="F39" s="267"/>
    </row>
    <row r="40" spans="1:6">
      <c r="A40" s="111" t="s">
        <v>8</v>
      </c>
      <c r="D40" s="123" t="s">
        <v>7</v>
      </c>
      <c r="F40" s="124"/>
    </row>
    <row r="44" spans="1:6">
      <c r="A44" s="122" t="s">
        <v>51</v>
      </c>
      <c r="B44" s="122"/>
      <c r="D44" s="122"/>
      <c r="E44" s="122"/>
      <c r="F44" s="122"/>
    </row>
    <row r="45" spans="1:6" s="3" customFormat="1" ht="17.100000000000001" customHeight="1">
      <c r="A45" s="126" t="s">
        <v>4</v>
      </c>
      <c r="B45" s="125"/>
      <c r="C45" s="126"/>
      <c r="D45" s="126" t="s">
        <v>3</v>
      </c>
      <c r="E45" s="126"/>
      <c r="F45" s="126"/>
    </row>
    <row r="46" spans="1:6">
      <c r="D46" s="111" t="s">
        <v>2</v>
      </c>
    </row>
    <row r="48" spans="1:6">
      <c r="D48" s="2" t="s">
        <v>1</v>
      </c>
    </row>
    <row r="49" spans="1:4">
      <c r="D49" s="2" t="s">
        <v>0</v>
      </c>
    </row>
    <row r="50" spans="1:4">
      <c r="A50" s="151" t="s">
        <v>2948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Sheet270">
    <pageSetUpPr fitToPage="1"/>
  </sheetPr>
  <dimension ref="A1:O54"/>
  <sheetViews>
    <sheetView zoomScaleNormal="100" workbookViewId="0">
      <selection activeCell="G9" sqref="G9:G13"/>
    </sheetView>
  </sheetViews>
  <sheetFormatPr defaultRowHeight="12.75"/>
  <cols>
    <col min="1" max="1" width="15.42578125" style="131" customWidth="1"/>
    <col min="2" max="2" width="12.42578125" style="131" customWidth="1"/>
    <col min="3" max="3" width="0.7109375" style="488" customWidth="1"/>
    <col min="4" max="4" width="21" style="131" customWidth="1"/>
    <col min="5" max="5" width="1.140625" style="488" customWidth="1"/>
    <col min="6" max="6" width="12.28515625" style="131" customWidth="1"/>
    <col min="7" max="7" width="12.5703125" style="131" customWidth="1"/>
    <col min="8" max="8" width="13.28515625" style="131" customWidth="1"/>
    <col min="9" max="16384" width="9.140625" style="131"/>
  </cols>
  <sheetData>
    <row r="1" spans="1:15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5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5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5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15">
      <c r="A8" s="131" t="s">
        <v>24</v>
      </c>
      <c r="F8" s="87" t="s">
        <v>23</v>
      </c>
    </row>
    <row r="9" spans="1:15">
      <c r="F9" s="132" t="s">
        <v>1716</v>
      </c>
      <c r="G9" s="489" t="s">
        <v>7058</v>
      </c>
    </row>
    <row r="10" spans="1:15">
      <c r="A10" s="131" t="s">
        <v>2714</v>
      </c>
      <c r="F10" s="132" t="s">
        <v>1162</v>
      </c>
      <c r="G10" s="132" t="s">
        <v>7046</v>
      </c>
    </row>
    <row r="11" spans="1:15">
      <c r="A11" s="131" t="s">
        <v>2715</v>
      </c>
      <c r="F11" s="132" t="s">
        <v>1163</v>
      </c>
      <c r="G11" s="132" t="s">
        <v>1094</v>
      </c>
    </row>
    <row r="12" spans="1:15">
      <c r="A12" s="131" t="s">
        <v>567</v>
      </c>
      <c r="F12" s="132" t="s">
        <v>1096</v>
      </c>
      <c r="G12" s="111" t="s">
        <v>7059</v>
      </c>
      <c r="K12" s="488" t="s">
        <v>5301</v>
      </c>
      <c r="L12" s="488"/>
      <c r="M12" s="488"/>
      <c r="N12" s="488">
        <v>40</v>
      </c>
      <c r="O12" s="488"/>
    </row>
    <row r="13" spans="1:15">
      <c r="G13" s="131" t="s">
        <v>5914</v>
      </c>
      <c r="K13" s="488" t="s">
        <v>5300</v>
      </c>
      <c r="L13" s="488"/>
      <c r="M13" s="488"/>
      <c r="N13" s="488">
        <v>40</v>
      </c>
      <c r="O13" s="488"/>
    </row>
    <row r="14" spans="1:15">
      <c r="K14" s="488" t="s">
        <v>5302</v>
      </c>
      <c r="L14" s="488"/>
      <c r="M14" s="488"/>
      <c r="N14" s="488">
        <v>80</v>
      </c>
      <c r="O14" s="488"/>
    </row>
    <row r="15" spans="1:15">
      <c r="K15" s="488" t="s">
        <v>5303</v>
      </c>
      <c r="L15" s="488"/>
      <c r="M15" s="488"/>
      <c r="N15" s="488">
        <v>80</v>
      </c>
      <c r="O15" s="488"/>
    </row>
    <row r="16" spans="1:15" s="95" customFormat="1" ht="20.100000000000001" customHeight="1">
      <c r="A16" s="90" t="s">
        <v>1113</v>
      </c>
      <c r="B16" s="90" t="s">
        <v>1114</v>
      </c>
      <c r="C16" s="90"/>
      <c r="D16" s="92" t="s">
        <v>14</v>
      </c>
      <c r="E16" s="92"/>
      <c r="F16" s="90"/>
      <c r="G16" s="93"/>
      <c r="H16" s="94" t="s">
        <v>13</v>
      </c>
      <c r="K16" s="488" t="s">
        <v>5304</v>
      </c>
      <c r="L16" s="488"/>
      <c r="M16" s="488"/>
      <c r="N16" s="488">
        <v>40</v>
      </c>
      <c r="O16" s="488"/>
    </row>
    <row r="17" spans="1:15">
      <c r="K17" s="488" t="s">
        <v>5301</v>
      </c>
      <c r="L17" s="488"/>
      <c r="M17" s="488"/>
      <c r="N17" s="488">
        <v>40</v>
      </c>
      <c r="O17" s="488"/>
    </row>
    <row r="18" spans="1:15">
      <c r="D18" s="110" t="s">
        <v>3387</v>
      </c>
      <c r="E18" s="491"/>
      <c r="K18" s="488" t="s">
        <v>5305</v>
      </c>
      <c r="L18" s="488"/>
      <c r="M18" s="488"/>
      <c r="N18" s="488">
        <v>80</v>
      </c>
      <c r="O18" s="488"/>
    </row>
    <row r="19" spans="1:15">
      <c r="K19" s="488" t="s">
        <v>5306</v>
      </c>
      <c r="L19" s="488"/>
      <c r="M19" s="488"/>
      <c r="N19" s="488">
        <v>80</v>
      </c>
      <c r="O19" s="488"/>
    </row>
    <row r="20" spans="1:15">
      <c r="A20" s="492" t="s">
        <v>7060</v>
      </c>
      <c r="B20" s="492" t="s">
        <v>7061</v>
      </c>
      <c r="C20" s="492"/>
      <c r="D20" s="131" t="s">
        <v>7062</v>
      </c>
      <c r="H20" s="131">
        <v>40</v>
      </c>
      <c r="K20" s="488"/>
      <c r="L20" s="488"/>
      <c r="M20" s="488"/>
      <c r="N20" s="488"/>
      <c r="O20" s="488"/>
    </row>
    <row r="21" spans="1:15">
      <c r="A21" s="158"/>
      <c r="B21" s="141"/>
      <c r="C21" s="141"/>
    </row>
    <row r="22" spans="1:15">
      <c r="A22" s="158"/>
      <c r="B22" s="158"/>
      <c r="C22" s="492"/>
    </row>
    <row r="25" spans="1:15">
      <c r="A25" s="158"/>
      <c r="B25" s="158"/>
      <c r="C25" s="492"/>
    </row>
    <row r="26" spans="1:15">
      <c r="A26" s="158"/>
      <c r="B26" s="141"/>
      <c r="C26" s="141"/>
    </row>
    <row r="27" spans="1:15">
      <c r="A27" s="158"/>
      <c r="B27" s="141"/>
      <c r="C27" s="141"/>
    </row>
    <row r="28" spans="1:15">
      <c r="A28" s="158"/>
      <c r="B28" s="141"/>
      <c r="C28" s="141"/>
    </row>
    <row r="29" spans="1:15">
      <c r="A29" s="158"/>
      <c r="B29" s="141"/>
      <c r="C29" s="141"/>
    </row>
    <row r="30" spans="1:15">
      <c r="A30" s="158"/>
      <c r="B30" s="141"/>
      <c r="C30" s="141"/>
    </row>
    <row r="31" spans="1:15">
      <c r="A31" s="158"/>
      <c r="B31" s="141"/>
      <c r="C31" s="141"/>
    </row>
    <row r="32" spans="1:15">
      <c r="A32" s="158"/>
      <c r="B32" s="141"/>
      <c r="C32" s="141"/>
    </row>
    <row r="33" spans="1:8">
      <c r="A33" s="158"/>
      <c r="B33" s="141"/>
      <c r="C33" s="141"/>
    </row>
    <row r="35" spans="1:8" ht="13.5" thickBot="1">
      <c r="H35" s="164">
        <f>SUM(H18:H34)</f>
        <v>40</v>
      </c>
    </row>
    <row r="36" spans="1:8" ht="13.5" thickTop="1"/>
    <row r="37" spans="1:8" ht="20.100000000000001" customHeight="1">
      <c r="A37" s="138" t="s">
        <v>1717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Forty and NO/100 -----------</v>
      </c>
      <c r="C37" s="204"/>
      <c r="D37" s="139"/>
      <c r="E37" s="139"/>
      <c r="F37" s="139"/>
      <c r="G37" s="139"/>
      <c r="H37" s="139"/>
    </row>
    <row r="38" spans="1:8">
      <c r="A38" s="140"/>
    </row>
    <row r="39" spans="1:8" ht="25.5">
      <c r="A39" s="147" t="s">
        <v>10</v>
      </c>
      <c r="F39" s="265" t="s">
        <v>2894</v>
      </c>
      <c r="G39" s="266"/>
      <c r="H39" s="267"/>
    </row>
    <row r="40" spans="1:8">
      <c r="A40" s="143"/>
    </row>
    <row r="41" spans="1:8">
      <c r="A41" s="143"/>
    </row>
    <row r="42" spans="1:8">
      <c r="A42" s="143"/>
      <c r="D42" s="141"/>
      <c r="E42" s="141"/>
    </row>
    <row r="43" spans="1:8">
      <c r="A43" s="248"/>
      <c r="B43" s="142"/>
      <c r="C43" s="445"/>
    </row>
    <row r="44" spans="1:8">
      <c r="A44" s="143"/>
    </row>
    <row r="45" spans="1:8">
      <c r="A45" s="143" t="s">
        <v>8</v>
      </c>
      <c r="D45" s="493" t="s">
        <v>8</v>
      </c>
      <c r="F45" s="143" t="s">
        <v>7</v>
      </c>
      <c r="H45" s="144"/>
    </row>
    <row r="46" spans="1:8">
      <c r="A46" s="143"/>
      <c r="D46" s="493"/>
    </row>
    <row r="47" spans="1:8">
      <c r="A47" s="143"/>
      <c r="D47" s="493"/>
    </row>
    <row r="48" spans="1:8">
      <c r="A48" s="143"/>
      <c r="D48" s="493"/>
    </row>
    <row r="49" spans="1:8">
      <c r="A49" s="248"/>
      <c r="B49" s="142"/>
      <c r="C49" s="445"/>
      <c r="D49" s="248"/>
      <c r="F49" s="142"/>
      <c r="G49" s="142"/>
      <c r="H49" s="142"/>
    </row>
    <row r="50" spans="1:8" s="147" customFormat="1" ht="17.100000000000001" customHeight="1">
      <c r="A50" s="145" t="s">
        <v>2948</v>
      </c>
      <c r="B50" s="146"/>
      <c r="C50" s="146"/>
      <c r="D50" s="494" t="s">
        <v>103</v>
      </c>
      <c r="E50" s="490"/>
      <c r="F50" s="147" t="s">
        <v>3</v>
      </c>
    </row>
    <row r="51" spans="1:8">
      <c r="A51" s="143"/>
      <c r="F51" s="131" t="s">
        <v>2</v>
      </c>
    </row>
    <row r="52" spans="1:8">
      <c r="A52" s="143"/>
    </row>
    <row r="53" spans="1:8">
      <c r="F53" s="110" t="s">
        <v>1</v>
      </c>
    </row>
    <row r="54" spans="1:8">
      <c r="F54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Sheet334">
    <pageSetUpPr fitToPage="1"/>
  </sheetPr>
  <dimension ref="A1:G56"/>
  <sheetViews>
    <sheetView workbookViewId="0">
      <selection activeCell="G9" sqref="G9:G13"/>
    </sheetView>
  </sheetViews>
  <sheetFormatPr defaultRowHeight="12.75"/>
  <cols>
    <col min="1" max="1" width="16.140625" style="86" customWidth="1"/>
    <col min="2" max="2" width="12.5703125" style="86" customWidth="1"/>
    <col min="3" max="3" width="23" style="86" customWidth="1"/>
    <col min="4" max="4" width="13.85546875" style="86" customWidth="1"/>
    <col min="5" max="5" width="9" style="86" customWidth="1"/>
    <col min="6" max="6" width="12.85546875" style="86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1481</v>
      </c>
      <c r="B4" s="532"/>
      <c r="C4" s="532"/>
      <c r="D4" s="532"/>
      <c r="E4" s="532"/>
      <c r="F4" s="532"/>
    </row>
    <row r="8" spans="1:6">
      <c r="A8" s="131" t="s">
        <v>24</v>
      </c>
      <c r="B8" s="131"/>
      <c r="C8" s="131"/>
      <c r="D8" s="87" t="s">
        <v>23</v>
      </c>
      <c r="E8" s="131"/>
      <c r="F8" s="131"/>
    </row>
    <row r="9" spans="1:6">
      <c r="A9" s="131"/>
      <c r="B9" s="131"/>
      <c r="C9" s="131"/>
      <c r="D9" s="132" t="s">
        <v>1127</v>
      </c>
      <c r="E9" s="131" t="s">
        <v>2887</v>
      </c>
      <c r="F9" s="131"/>
    </row>
    <row r="10" spans="1:6">
      <c r="A10" s="131" t="s">
        <v>2888</v>
      </c>
      <c r="B10" s="131"/>
      <c r="C10" s="131"/>
      <c r="D10" s="132" t="s">
        <v>1162</v>
      </c>
      <c r="E10" s="132" t="s">
        <v>2882</v>
      </c>
      <c r="F10" s="131"/>
    </row>
    <row r="11" spans="1:6">
      <c r="A11" s="131" t="s">
        <v>2889</v>
      </c>
      <c r="B11" s="131"/>
      <c r="C11" s="131"/>
      <c r="D11" s="132" t="s">
        <v>1163</v>
      </c>
      <c r="E11" s="132" t="s">
        <v>1094</v>
      </c>
      <c r="F11" s="131"/>
    </row>
    <row r="12" spans="1:6">
      <c r="A12" s="131" t="s">
        <v>2890</v>
      </c>
      <c r="B12" s="131"/>
      <c r="C12" s="131"/>
      <c r="D12" s="132" t="s">
        <v>1135</v>
      </c>
      <c r="E12" s="132" t="s">
        <v>1270</v>
      </c>
      <c r="F12" s="131"/>
    </row>
    <row r="13" spans="1:6">
      <c r="A13" s="131" t="s">
        <v>2891</v>
      </c>
      <c r="B13" s="131"/>
      <c r="C13" s="131"/>
      <c r="D13" s="131"/>
      <c r="E13" s="131"/>
      <c r="F13" s="131"/>
    </row>
    <row r="14" spans="1:6">
      <c r="A14" s="131"/>
      <c r="B14" s="131"/>
      <c r="C14" s="131"/>
      <c r="D14" s="131"/>
      <c r="E14" s="131"/>
      <c r="F14" s="131"/>
    </row>
    <row r="15" spans="1:6">
      <c r="A15" s="131"/>
      <c r="B15" s="131"/>
      <c r="C15" s="131"/>
      <c r="D15" s="131"/>
      <c r="E15" s="131"/>
      <c r="F15" s="131"/>
    </row>
    <row r="16" spans="1:6" s="95" customFormat="1" ht="20.100000000000001" customHeight="1">
      <c r="A16" s="90" t="s">
        <v>1122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7">
      <c r="A17" s="131"/>
      <c r="B17" s="131"/>
      <c r="C17" s="131"/>
      <c r="D17" s="131"/>
      <c r="E17" s="131"/>
      <c r="F17" s="131"/>
    </row>
    <row r="18" spans="1:7">
      <c r="A18" s="131"/>
      <c r="B18" s="131"/>
      <c r="C18" s="110" t="s">
        <v>2886</v>
      </c>
      <c r="D18" s="131"/>
      <c r="E18" s="131"/>
      <c r="F18" s="131"/>
    </row>
    <row r="19" spans="1:7">
      <c r="A19" s="131"/>
      <c r="B19" s="131"/>
      <c r="C19" s="131"/>
      <c r="D19" s="131"/>
      <c r="E19" s="131"/>
      <c r="F19" s="131"/>
      <c r="G19" s="131"/>
    </row>
    <row r="20" spans="1:7">
      <c r="A20" s="254" t="s">
        <v>2856</v>
      </c>
      <c r="B20" s="131"/>
      <c r="C20" s="131" t="s">
        <v>2892</v>
      </c>
      <c r="D20" s="131"/>
      <c r="E20" s="131"/>
      <c r="F20" s="131">
        <f>23982*3.1775</f>
        <v>76202.805000000008</v>
      </c>
      <c r="G20" s="131"/>
    </row>
    <row r="21" spans="1:7">
      <c r="A21" s="131"/>
      <c r="B21" s="131"/>
      <c r="C21" s="131" t="s">
        <v>2893</v>
      </c>
      <c r="D21" s="131"/>
      <c r="E21" s="131"/>
      <c r="F21" s="131"/>
      <c r="G21" s="131"/>
    </row>
    <row r="22" spans="1:7">
      <c r="A22" s="254"/>
      <c r="B22" s="131"/>
      <c r="C22" s="131"/>
      <c r="D22" s="131"/>
      <c r="E22" s="131"/>
      <c r="F22" s="131"/>
      <c r="G22" s="131"/>
    </row>
    <row r="23" spans="1:7">
      <c r="A23" s="133"/>
      <c r="B23" s="131"/>
      <c r="C23" s="131" t="s">
        <v>2831</v>
      </c>
      <c r="F23" s="131">
        <v>30</v>
      </c>
      <c r="G23" s="131"/>
    </row>
    <row r="24" spans="1:7">
      <c r="A24" s="133"/>
      <c r="B24" s="131"/>
      <c r="C24" s="131"/>
      <c r="D24" s="131"/>
      <c r="E24" s="131"/>
      <c r="F24" s="131"/>
      <c r="G24" s="131"/>
    </row>
    <row r="25" spans="1:7">
      <c r="A25" s="254"/>
      <c r="B25" s="131"/>
      <c r="C25" s="200"/>
      <c r="D25" s="131"/>
      <c r="E25" s="131"/>
      <c r="F25" s="131"/>
      <c r="G25" s="131"/>
    </row>
    <row r="26" spans="1:7">
      <c r="A26" s="177"/>
      <c r="B26" s="131"/>
      <c r="C26" s="131"/>
      <c r="D26" s="131"/>
      <c r="E26" s="131"/>
      <c r="F26" s="131"/>
      <c r="G26" s="131"/>
    </row>
    <row r="27" spans="1:7">
      <c r="A27" s="254"/>
      <c r="B27" s="131"/>
      <c r="C27" s="131"/>
      <c r="D27" s="131"/>
      <c r="E27" s="131"/>
      <c r="F27" s="131"/>
      <c r="G27" s="131"/>
    </row>
    <row r="28" spans="1:7">
      <c r="A28" s="177"/>
      <c r="B28" s="131"/>
      <c r="C28" s="200"/>
      <c r="D28" s="131"/>
      <c r="E28" s="131"/>
      <c r="F28" s="131"/>
      <c r="G28" s="131"/>
    </row>
    <row r="29" spans="1:7">
      <c r="A29" s="177"/>
      <c r="B29" s="131"/>
      <c r="C29" s="131"/>
      <c r="D29" s="131"/>
      <c r="E29" s="131"/>
      <c r="F29" s="131"/>
      <c r="G29" s="131"/>
    </row>
    <row r="30" spans="1:7">
      <c r="A30" s="158"/>
      <c r="B30" s="140"/>
      <c r="G30" s="131"/>
    </row>
    <row r="31" spans="1:7">
      <c r="A31" s="158"/>
      <c r="B31" s="140"/>
      <c r="C31" s="131"/>
      <c r="D31" s="131"/>
      <c r="E31" s="131"/>
      <c r="F31" s="131"/>
      <c r="G31" s="131"/>
    </row>
    <row r="32" spans="1:7">
      <c r="A32" s="158"/>
      <c r="B32" s="140"/>
      <c r="C32" s="131"/>
      <c r="D32" s="131"/>
      <c r="E32" s="131"/>
      <c r="F32" s="131"/>
      <c r="G32" s="131"/>
    </row>
    <row r="33" spans="1:7">
      <c r="A33" s="158"/>
      <c r="B33" s="140"/>
      <c r="C33" s="131"/>
      <c r="D33" s="131"/>
      <c r="E33" s="131"/>
      <c r="F33" s="131"/>
      <c r="G33" s="131"/>
    </row>
    <row r="34" spans="1:7">
      <c r="A34" s="131"/>
      <c r="B34" s="131"/>
      <c r="C34" s="131"/>
      <c r="D34" s="131"/>
      <c r="E34" s="131"/>
      <c r="G34" s="131"/>
    </row>
    <row r="35" spans="1:7" ht="13.5" thickBot="1">
      <c r="A35" s="131"/>
      <c r="B35" s="131"/>
      <c r="C35" s="131"/>
      <c r="D35" s="131"/>
      <c r="E35" s="131"/>
      <c r="F35" s="137">
        <f>SUM(F20:F33)</f>
        <v>76232.805000000008</v>
      </c>
      <c r="G35" s="131"/>
    </row>
    <row r="36" spans="1:7" ht="13.5" thickTop="1">
      <c r="A36" s="131"/>
      <c r="B36" s="131"/>
      <c r="C36" s="131"/>
      <c r="D36" s="131"/>
      <c r="E36" s="131"/>
      <c r="F36" s="131"/>
      <c r="G36" s="131"/>
    </row>
    <row r="37" spans="1:7" ht="20.100000000000001" customHeight="1">
      <c r="A37" s="138" t="s">
        <v>1133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Seventy-Six Thousand Two Hundred Thirty-Two and 81/100 -----------</v>
      </c>
      <c r="C37" s="139"/>
      <c r="D37" s="139"/>
      <c r="E37" s="139"/>
      <c r="F37" s="139"/>
      <c r="G37" s="131"/>
    </row>
    <row r="38" spans="1:7">
      <c r="A38" s="140" t="s">
        <v>11</v>
      </c>
      <c r="B38" s="131"/>
      <c r="C38" s="131"/>
      <c r="D38" s="131"/>
      <c r="E38" s="131"/>
      <c r="F38" s="131"/>
    </row>
    <row r="39" spans="1:7" ht="25.5">
      <c r="A39" s="147" t="s">
        <v>10</v>
      </c>
      <c r="B39" s="131"/>
      <c r="C39" s="131"/>
      <c r="D39" s="265" t="s">
        <v>2894</v>
      </c>
      <c r="E39" s="266"/>
      <c r="F39" s="267"/>
    </row>
    <row r="40" spans="1:7">
      <c r="A40" s="131"/>
      <c r="B40" s="131"/>
      <c r="C40" s="131"/>
      <c r="D40" s="131"/>
      <c r="E40" s="131"/>
      <c r="F40" s="131"/>
    </row>
    <row r="41" spans="1:7">
      <c r="A41" s="131"/>
      <c r="B41" s="131"/>
      <c r="C41" s="131"/>
      <c r="D41" s="131"/>
      <c r="E41" s="131"/>
      <c r="F41" s="131"/>
    </row>
    <row r="42" spans="1:7">
      <c r="A42" s="131"/>
      <c r="B42" s="131"/>
      <c r="C42" s="141"/>
      <c r="D42" s="131"/>
      <c r="E42" s="131"/>
      <c r="F42" s="131"/>
    </row>
    <row r="43" spans="1:7">
      <c r="A43" s="142"/>
      <c r="B43" s="142"/>
      <c r="C43" s="131"/>
      <c r="D43" s="131"/>
      <c r="E43" s="131"/>
      <c r="F43" s="131"/>
    </row>
    <row r="44" spans="1:7">
      <c r="B44" s="131"/>
      <c r="C44" s="131"/>
      <c r="D44" s="131"/>
      <c r="E44" s="131"/>
      <c r="F44" s="131"/>
    </row>
    <row r="45" spans="1:7">
      <c r="A45" s="143" t="s">
        <v>8</v>
      </c>
      <c r="C45" s="131"/>
      <c r="D45" s="143" t="s">
        <v>7</v>
      </c>
      <c r="E45" s="131"/>
      <c r="F45" s="144"/>
    </row>
    <row r="46" spans="1:7">
      <c r="A46" s="131"/>
      <c r="B46" s="131"/>
      <c r="C46" s="131"/>
      <c r="D46" s="131"/>
      <c r="E46" s="131"/>
      <c r="F46" s="131"/>
    </row>
    <row r="47" spans="1:7">
      <c r="A47" s="131"/>
      <c r="B47" s="131"/>
      <c r="C47" s="131"/>
      <c r="D47" s="131"/>
      <c r="E47" s="131"/>
      <c r="F47" s="131"/>
    </row>
    <row r="48" spans="1:7">
      <c r="A48" s="131"/>
      <c r="B48" s="131"/>
      <c r="C48" s="131"/>
      <c r="D48" s="131"/>
      <c r="E48" s="131"/>
      <c r="F48" s="131"/>
    </row>
    <row r="49" spans="1:6">
      <c r="A49" s="142"/>
      <c r="B49" s="142"/>
      <c r="C49" s="131"/>
      <c r="D49" s="142"/>
      <c r="E49" s="142"/>
      <c r="F49" s="142"/>
    </row>
    <row r="50" spans="1:6" s="109" customFormat="1" ht="17.100000000000001" customHeight="1">
      <c r="A50" s="145" t="s">
        <v>2948</v>
      </c>
      <c r="B50" s="146"/>
      <c r="C50" s="147"/>
      <c r="D50" s="147" t="s">
        <v>3</v>
      </c>
      <c r="E50" s="147"/>
      <c r="F50" s="147"/>
    </row>
    <row r="51" spans="1:6">
      <c r="A51" s="131"/>
      <c r="B51" s="131"/>
      <c r="C51" s="131"/>
      <c r="D51" s="131" t="s">
        <v>2</v>
      </c>
      <c r="E51" s="131"/>
      <c r="F51" s="131"/>
    </row>
    <row r="52" spans="1:6">
      <c r="A52" s="131"/>
      <c r="B52" s="131"/>
      <c r="C52" s="131"/>
      <c r="D52" s="131"/>
      <c r="E52" s="131"/>
      <c r="F52" s="131"/>
    </row>
    <row r="53" spans="1:6">
      <c r="A53" s="131"/>
      <c r="B53" s="131"/>
      <c r="C53" s="131"/>
      <c r="D53" s="110" t="s">
        <v>1</v>
      </c>
      <c r="E53" s="131"/>
      <c r="F53" s="131"/>
    </row>
    <row r="54" spans="1:6">
      <c r="A54" s="131"/>
      <c r="B54" s="131"/>
      <c r="C54" s="131"/>
      <c r="D54" s="110" t="s">
        <v>0</v>
      </c>
      <c r="E54" s="131"/>
      <c r="F54" s="131"/>
    </row>
    <row r="55" spans="1:6">
      <c r="A55" s="131"/>
      <c r="B55" s="131"/>
      <c r="C55" s="131"/>
      <c r="D55" s="131"/>
      <c r="E55" s="131"/>
      <c r="F55" s="131"/>
    </row>
    <row r="56" spans="1:6">
      <c r="A56" s="131"/>
      <c r="B56" s="131"/>
      <c r="C56" s="131"/>
      <c r="D56" s="131"/>
      <c r="E56" s="131"/>
      <c r="F56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Sheet335"/>
  <dimension ref="A1:F55"/>
  <sheetViews>
    <sheetView zoomScaleNormal="100"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6.42578125" style="131" customWidth="1"/>
    <col min="5" max="5" width="10.1406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A9" s="131" t="s">
        <v>3129</v>
      </c>
      <c r="D9" s="132" t="s">
        <v>1766</v>
      </c>
      <c r="E9" s="147" t="s">
        <v>3127</v>
      </c>
    </row>
    <row r="10" spans="1:6">
      <c r="A10" s="131" t="s">
        <v>3130</v>
      </c>
      <c r="D10" s="132" t="s">
        <v>1124</v>
      </c>
      <c r="E10" s="212" t="s">
        <v>3126</v>
      </c>
    </row>
    <row r="11" spans="1:6">
      <c r="A11" s="131" t="s">
        <v>3131</v>
      </c>
      <c r="D11" s="132" t="s">
        <v>1125</v>
      </c>
      <c r="E11" s="212" t="s">
        <v>1094</v>
      </c>
    </row>
    <row r="12" spans="1:6">
      <c r="A12" s="131" t="s">
        <v>1365</v>
      </c>
      <c r="D12" s="132" t="s">
        <v>1096</v>
      </c>
      <c r="E12" s="212" t="s">
        <v>3128</v>
      </c>
    </row>
    <row r="14" spans="1:6">
      <c r="A14" s="131" t="s">
        <v>3132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6">
      <c r="A17" s="177"/>
    </row>
    <row r="18" spans="1:6">
      <c r="A18" s="158"/>
      <c r="B18" s="158"/>
      <c r="C18" s="110" t="s">
        <v>3133</v>
      </c>
    </row>
    <row r="20" spans="1:6">
      <c r="A20" s="158" t="s">
        <v>3134</v>
      </c>
      <c r="B20" s="158" t="s">
        <v>3135</v>
      </c>
      <c r="C20" s="131" t="s">
        <v>3136</v>
      </c>
      <c r="F20" s="131">
        <v>4420</v>
      </c>
    </row>
    <row r="22" spans="1:6">
      <c r="A22" s="158" t="s">
        <v>3137</v>
      </c>
      <c r="B22" s="158" t="s">
        <v>3138</v>
      </c>
      <c r="C22" s="131" t="s">
        <v>3139</v>
      </c>
      <c r="F22" s="131">
        <v>400</v>
      </c>
    </row>
    <row r="24" spans="1:6">
      <c r="A24" s="158"/>
      <c r="B24" s="141"/>
      <c r="C24" s="131" t="s">
        <v>3140</v>
      </c>
      <c r="F24" s="131">
        <v>500</v>
      </c>
    </row>
    <row r="26" spans="1:6">
      <c r="A26" s="158"/>
      <c r="B26" s="141"/>
    </row>
    <row r="28" spans="1:6">
      <c r="A28" s="158"/>
      <c r="B28" s="141"/>
      <c r="C28" s="110"/>
    </row>
    <row r="29" spans="1:6">
      <c r="A29" s="158"/>
      <c r="B29" s="141"/>
    </row>
    <row r="30" spans="1:6">
      <c r="A30" s="158"/>
      <c r="B30" s="141"/>
    </row>
    <row r="31" spans="1:6">
      <c r="A31" s="158"/>
      <c r="B31" s="141"/>
    </row>
    <row r="32" spans="1:6">
      <c r="A32" s="158"/>
      <c r="B32" s="141"/>
    </row>
    <row r="33" spans="1:6">
      <c r="A33" s="158"/>
      <c r="B33" s="141"/>
    </row>
    <row r="34" spans="1:6">
      <c r="A34" s="158"/>
      <c r="B34" s="141"/>
    </row>
    <row r="35" spans="1:6">
      <c r="A35" s="158"/>
    </row>
    <row r="36" spans="1:6" ht="13.5" thickBot="1">
      <c r="A36" s="158"/>
      <c r="F36" s="137">
        <f>SUM(F18:F35)</f>
        <v>5320</v>
      </c>
    </row>
    <row r="37" spans="1:6" ht="13.5" thickTop="1">
      <c r="A37" s="177"/>
    </row>
    <row r="38" spans="1:6" ht="20.100000000000001" customHeight="1">
      <c r="A38" s="138" t="s">
        <v>1686</v>
      </c>
      <c r="B38" s="204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Five Thousand Three Hundred Twenty and NO/100 -----------</v>
      </c>
      <c r="C38" s="139"/>
      <c r="D38" s="262"/>
      <c r="E38" s="262"/>
      <c r="F38" s="262"/>
    </row>
    <row r="39" spans="1:6">
      <c r="A39" s="140"/>
    </row>
    <row r="40" spans="1:6" ht="25.5">
      <c r="A40" s="131" t="s">
        <v>10</v>
      </c>
      <c r="D40" s="283" t="s">
        <v>2894</v>
      </c>
      <c r="E40" s="284"/>
      <c r="F40" s="285"/>
    </row>
    <row r="41" spans="1:6">
      <c r="D41" s="291"/>
      <c r="E41" s="291"/>
      <c r="F41" s="291"/>
    </row>
    <row r="42" spans="1:6">
      <c r="D42" s="286"/>
      <c r="E42" s="287"/>
      <c r="F42" s="287"/>
    </row>
    <row r="44" spans="1:6">
      <c r="A44" s="142"/>
      <c r="B44" s="142"/>
    </row>
    <row r="46" spans="1:6">
      <c r="A46" s="131" t="s">
        <v>8</v>
      </c>
      <c r="D46" s="143" t="s">
        <v>7</v>
      </c>
      <c r="F46" s="144"/>
    </row>
    <row r="50" spans="1:6">
      <c r="A50" s="142" t="s">
        <v>51</v>
      </c>
      <c r="B50" s="142"/>
      <c r="D50" s="142"/>
      <c r="E50" s="142"/>
      <c r="F50" s="142"/>
    </row>
    <row r="51" spans="1:6" s="147" customFormat="1" ht="17.100000000000001" customHeight="1">
      <c r="A51" s="131" t="s">
        <v>2948</v>
      </c>
      <c r="B51" s="146"/>
      <c r="D51" s="147" t="s">
        <v>3</v>
      </c>
    </row>
    <row r="52" spans="1:6">
      <c r="D52" s="131" t="s">
        <v>2</v>
      </c>
    </row>
    <row r="54" spans="1:6">
      <c r="D54" s="110" t="s">
        <v>1</v>
      </c>
    </row>
    <row r="55" spans="1:6">
      <c r="D55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59055118110236227" bottom="0.78740157480314965" header="0.51181102362204722" footer="0.51181102362204722"/>
  <pageSetup paperSize="9" scale="91" orientation="portrait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Sheet336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5703125" style="131" customWidth="1"/>
    <col min="2" max="2" width="18.42578125" style="131" customWidth="1"/>
    <col min="3" max="3" width="20" style="131" customWidth="1"/>
    <col min="4" max="4" width="17.42578125" style="131" customWidth="1"/>
    <col min="5" max="5" width="9.285156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1716</v>
      </c>
      <c r="E9" s="131" t="s">
        <v>3825</v>
      </c>
    </row>
    <row r="10" spans="1:6">
      <c r="A10" s="131" t="s">
        <v>3423</v>
      </c>
      <c r="D10" s="132" t="s">
        <v>1162</v>
      </c>
      <c r="E10" s="143" t="s">
        <v>3816</v>
      </c>
    </row>
    <row r="11" spans="1:6">
      <c r="A11" s="131" t="s">
        <v>3424</v>
      </c>
      <c r="D11" s="132" t="s">
        <v>1163</v>
      </c>
      <c r="E11" s="132" t="s">
        <v>1094</v>
      </c>
    </row>
    <row r="12" spans="1:6">
      <c r="A12" s="131" t="s">
        <v>3425</v>
      </c>
      <c r="D12" s="132" t="s">
        <v>1096</v>
      </c>
      <c r="E12" s="140" t="s">
        <v>3826</v>
      </c>
    </row>
    <row r="13" spans="1:6">
      <c r="A13" s="131" t="s">
        <v>3426</v>
      </c>
    </row>
    <row r="14" spans="1:6">
      <c r="A14" s="131" t="s">
        <v>3427</v>
      </c>
    </row>
    <row r="15" spans="1:6">
      <c r="A15" s="131" t="s">
        <v>3428</v>
      </c>
    </row>
    <row r="16" spans="1:6" s="95" customFormat="1" ht="20.100000000000001" customHeight="1">
      <c r="A16" s="90" t="s">
        <v>1113</v>
      </c>
      <c r="B16" s="91" t="s">
        <v>1114</v>
      </c>
      <c r="C16" s="92" t="s">
        <v>14</v>
      </c>
      <c r="D16" s="90"/>
      <c r="E16" s="93"/>
      <c r="F16" s="94" t="s">
        <v>13</v>
      </c>
    </row>
    <row r="18" spans="1:6" ht="12.75" customHeight="1">
      <c r="A18" s="158"/>
      <c r="B18" s="305"/>
      <c r="C18" s="110" t="s">
        <v>3096</v>
      </c>
    </row>
    <row r="19" spans="1:6">
      <c r="A19" s="140"/>
      <c r="B19" s="305"/>
    </row>
    <row r="20" spans="1:6">
      <c r="A20" s="132" t="s">
        <v>2834</v>
      </c>
      <c r="B20" s="306"/>
      <c r="C20" s="131" t="s">
        <v>3827</v>
      </c>
      <c r="F20" s="131">
        <v>1000</v>
      </c>
    </row>
    <row r="21" spans="1:6">
      <c r="A21" s="158"/>
      <c r="B21" s="306"/>
      <c r="C21" s="131" t="s">
        <v>3828</v>
      </c>
    </row>
    <row r="22" spans="1:6">
      <c r="A22" s="158"/>
      <c r="B22" s="306"/>
    </row>
    <row r="23" spans="1:6">
      <c r="A23" s="132"/>
      <c r="B23" s="306"/>
    </row>
    <row r="24" spans="1:6">
      <c r="A24" s="158"/>
      <c r="B24" s="306"/>
    </row>
    <row r="25" spans="1:6">
      <c r="B25" s="247"/>
    </row>
    <row r="26" spans="1:6">
      <c r="A26" s="158"/>
      <c r="B26" s="305"/>
    </row>
    <row r="27" spans="1:6">
      <c r="A27" s="140"/>
      <c r="B27" s="305"/>
    </row>
    <row r="28" spans="1:6">
      <c r="A28" s="158"/>
      <c r="B28" s="306"/>
    </row>
    <row r="31" spans="1:6">
      <c r="F31" s="110"/>
    </row>
    <row r="32" spans="1:6">
      <c r="B32" s="140"/>
    </row>
    <row r="33" spans="1:6">
      <c r="B33" s="140"/>
    </row>
    <row r="35" spans="1:6" ht="13.5" thickBot="1">
      <c r="F35" s="164">
        <f>SUM(F18:F34)</f>
        <v>1000</v>
      </c>
    </row>
    <row r="36" spans="1:6" ht="13.5" thickTop="1"/>
    <row r="37" spans="1:6" ht="20.100000000000001" customHeight="1">
      <c r="A37" s="138" t="s">
        <v>1717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and NO/100 -----------</v>
      </c>
      <c r="C37" s="139"/>
      <c r="D37" s="139"/>
      <c r="E37" s="139"/>
      <c r="F37" s="139"/>
    </row>
    <row r="38" spans="1:6">
      <c r="A38" s="140"/>
    </row>
    <row r="39" spans="1:6" ht="25.5">
      <c r="A39" s="143" t="s">
        <v>10</v>
      </c>
      <c r="D39" s="283" t="s">
        <v>2894</v>
      </c>
      <c r="E39" s="284"/>
      <c r="F39" s="285"/>
    </row>
    <row r="40" spans="1:6">
      <c r="A40" s="143"/>
    </row>
    <row r="41" spans="1:6">
      <c r="A41" s="143"/>
      <c r="D41" s="291"/>
      <c r="E41" s="291"/>
      <c r="F41" s="291"/>
    </row>
    <row r="42" spans="1:6">
      <c r="A42" s="143"/>
      <c r="C42" s="141"/>
      <c r="D42" s="286"/>
      <c r="E42" s="287"/>
      <c r="F42" s="287"/>
    </row>
    <row r="43" spans="1:6">
      <c r="A43" s="142"/>
      <c r="B43" s="142"/>
    </row>
    <row r="44" spans="1:6">
      <c r="A44" s="143"/>
    </row>
    <row r="45" spans="1:6">
      <c r="A45" s="143" t="s">
        <v>8</v>
      </c>
      <c r="D45" s="143" t="s">
        <v>7</v>
      </c>
      <c r="F45" s="144"/>
    </row>
    <row r="46" spans="1:6">
      <c r="A46" s="143"/>
    </row>
    <row r="47" spans="1:6">
      <c r="A47" s="143"/>
    </row>
    <row r="48" spans="1:6">
      <c r="A48" s="143"/>
    </row>
    <row r="49" spans="1:6">
      <c r="A49" s="248"/>
      <c r="B49" s="142"/>
      <c r="D49" s="142"/>
      <c r="E49" s="142"/>
      <c r="F49" s="142"/>
    </row>
    <row r="50" spans="1:6" s="147" customFormat="1" ht="17.100000000000001" customHeight="1">
      <c r="A50" s="143" t="s">
        <v>2948</v>
      </c>
      <c r="B50" s="146"/>
      <c r="D50" s="147" t="s">
        <v>3</v>
      </c>
    </row>
    <row r="51" spans="1:6">
      <c r="A51" s="143"/>
      <c r="D51" s="131" t="s">
        <v>2</v>
      </c>
    </row>
    <row r="52" spans="1:6">
      <c r="A52" s="143"/>
    </row>
    <row r="53" spans="1:6">
      <c r="D53" s="110" t="s">
        <v>1</v>
      </c>
    </row>
    <row r="54" spans="1:6">
      <c r="D54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Sheet389"/>
  <dimension ref="A1:F54"/>
  <sheetViews>
    <sheetView zoomScaleNormal="100" workbookViewId="0">
      <selection activeCell="G9" sqref="G9:G13"/>
    </sheetView>
  </sheetViews>
  <sheetFormatPr defaultRowHeight="12.75"/>
  <cols>
    <col min="1" max="1" width="15" style="111" customWidth="1"/>
    <col min="2" max="2" width="12.42578125" style="111" customWidth="1"/>
    <col min="3" max="3" width="21" style="111" customWidth="1"/>
    <col min="4" max="4" width="16.42578125" style="111" customWidth="1"/>
    <col min="5" max="5" width="9" style="111" customWidth="1"/>
    <col min="6" max="6" width="13.28515625" style="11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4919</v>
      </c>
    </row>
    <row r="10" spans="1:6">
      <c r="A10" s="111" t="s">
        <v>4355</v>
      </c>
      <c r="D10" s="112" t="s">
        <v>1685</v>
      </c>
      <c r="E10" s="111" t="s">
        <v>4915</v>
      </c>
    </row>
    <row r="11" spans="1:6">
      <c r="A11" s="111" t="s">
        <v>3442</v>
      </c>
      <c r="D11" s="112" t="s">
        <v>1163</v>
      </c>
      <c r="E11" s="111" t="s">
        <v>1094</v>
      </c>
    </row>
    <row r="12" spans="1:6">
      <c r="A12" s="111" t="s">
        <v>3443</v>
      </c>
      <c r="D12" s="112" t="s">
        <v>1096</v>
      </c>
      <c r="E12" s="111" t="s">
        <v>4920</v>
      </c>
    </row>
    <row r="13" spans="1:6">
      <c r="A13" s="111" t="s">
        <v>3444</v>
      </c>
    </row>
    <row r="14" spans="1:6">
      <c r="A14" s="111" t="s">
        <v>3445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54"/>
    </row>
    <row r="18" spans="1:6">
      <c r="A18" s="116"/>
      <c r="B18" s="307"/>
      <c r="C18" s="2" t="s">
        <v>4921</v>
      </c>
    </row>
    <row r="19" spans="1:6">
      <c r="A19" s="154"/>
      <c r="B19" s="116"/>
      <c r="C19" s="2"/>
    </row>
    <row r="20" spans="1:6">
      <c r="A20" s="156" t="s">
        <v>4922</v>
      </c>
      <c r="B20" s="116" t="s">
        <v>4923</v>
      </c>
      <c r="C20" s="111" t="s">
        <v>4924</v>
      </c>
      <c r="F20" s="111">
        <f>0.35*2000</f>
        <v>700</v>
      </c>
    </row>
    <row r="21" spans="1:6">
      <c r="A21" s="156"/>
    </row>
    <row r="22" spans="1:6">
      <c r="A22" s="154"/>
      <c r="C22" s="111" t="s">
        <v>3446</v>
      </c>
      <c r="F22" s="111">
        <v>60</v>
      </c>
    </row>
    <row r="23" spans="1:6">
      <c r="A23" s="116"/>
      <c r="B23" s="116"/>
    </row>
    <row r="24" spans="1:6">
      <c r="C24" s="111" t="s">
        <v>1814</v>
      </c>
      <c r="F24" s="111">
        <f>SUM(F20+F22)*6%</f>
        <v>45.6</v>
      </c>
    </row>
    <row r="27" spans="1:6">
      <c r="A27" s="116"/>
      <c r="B27" s="116"/>
      <c r="C27" s="2"/>
    </row>
    <row r="28" spans="1:6">
      <c r="A28" s="116"/>
      <c r="B28" s="156"/>
    </row>
    <row r="29" spans="1:6">
      <c r="A29" s="116"/>
      <c r="B29" s="116"/>
    </row>
    <row r="30" spans="1:6">
      <c r="A30" s="116"/>
      <c r="B30" s="156"/>
    </row>
    <row r="31" spans="1:6">
      <c r="A31" s="116"/>
      <c r="B31" s="156"/>
    </row>
    <row r="32" spans="1:6">
      <c r="A32" s="116"/>
      <c r="B32" s="156"/>
    </row>
    <row r="33" spans="1:6">
      <c r="A33" s="154"/>
      <c r="B33" s="120"/>
    </row>
    <row r="34" spans="1:6">
      <c r="A34" s="154"/>
    </row>
    <row r="35" spans="1:6" ht="13.5" thickBot="1">
      <c r="A35" s="154"/>
      <c r="F35" s="127">
        <f>SUM(F18:F34)</f>
        <v>805.6</v>
      </c>
    </row>
    <row r="36" spans="1:6" ht="13.5" thickTop="1">
      <c r="A36" s="154"/>
      <c r="F36" s="308"/>
    </row>
    <row r="37" spans="1:6" ht="20.100000000000001" customHeight="1">
      <c r="A37" s="118" t="s">
        <v>3440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Eight Hundred Five and 60/100 -----------</v>
      </c>
      <c r="C37" s="119"/>
      <c r="D37" s="119"/>
      <c r="E37" s="119"/>
      <c r="F37" s="119"/>
    </row>
    <row r="38" spans="1:6">
      <c r="A38" s="120"/>
    </row>
    <row r="39" spans="1:6" ht="25.5">
      <c r="A39" s="111" t="s">
        <v>10</v>
      </c>
      <c r="D39" s="265" t="s">
        <v>2894</v>
      </c>
      <c r="E39" s="266"/>
      <c r="F39" s="267"/>
    </row>
    <row r="41" spans="1:6">
      <c r="D41" s="309"/>
      <c r="E41" s="309"/>
      <c r="F41" s="309"/>
    </row>
    <row r="42" spans="1:6">
      <c r="A42" s="123" t="s">
        <v>52</v>
      </c>
      <c r="C42" s="121"/>
      <c r="D42" s="310"/>
      <c r="E42" s="311"/>
      <c r="F42" s="311"/>
    </row>
    <row r="43" spans="1:6">
      <c r="A43" s="35"/>
      <c r="B43" s="122"/>
    </row>
    <row r="44" spans="1:6">
      <c r="A44" s="123"/>
    </row>
    <row r="45" spans="1:6">
      <c r="A45" s="123" t="s">
        <v>8</v>
      </c>
      <c r="D45" s="123" t="s">
        <v>7</v>
      </c>
      <c r="F45" s="124"/>
    </row>
    <row r="46" spans="1:6">
      <c r="A46" s="123"/>
    </row>
    <row r="47" spans="1:6">
      <c r="A47" s="123"/>
    </row>
    <row r="48" spans="1:6">
      <c r="A48" s="123"/>
    </row>
    <row r="49" spans="1:6">
      <c r="A49" s="150"/>
      <c r="B49" s="122"/>
      <c r="D49" s="122"/>
      <c r="E49" s="122"/>
      <c r="F49" s="122"/>
    </row>
    <row r="50" spans="1:6" s="3" customFormat="1" ht="17.100000000000001" customHeight="1">
      <c r="A50" s="151" t="s">
        <v>3441</v>
      </c>
      <c r="B50" s="125"/>
      <c r="C50" s="126"/>
      <c r="D50" s="126" t="s">
        <v>3</v>
      </c>
      <c r="E50" s="126"/>
      <c r="F50" s="126"/>
    </row>
    <row r="51" spans="1:6">
      <c r="D51" s="111" t="s">
        <v>2</v>
      </c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6BE52-18BC-4A3B-B61F-EB2DFD68539A}">
  <sheetPr codeName="Sheet597"/>
  <dimension ref="A1:R65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3.42578125" style="1" customWidth="1"/>
    <col min="7" max="7" width="10.140625" style="1" customWidth="1"/>
    <col min="8" max="8" width="13.28515625" style="1" customWidth="1"/>
    <col min="9" max="14" width="9.140625" style="1"/>
    <col min="15" max="15" width="11.5703125" style="1" bestFit="1" customWidth="1"/>
    <col min="16" max="16" width="9.140625" style="1"/>
    <col min="17" max="17" width="11" style="1" bestFit="1" customWidth="1"/>
    <col min="18" max="18" width="10.140625" style="1" bestFit="1" customWidth="1"/>
    <col min="19" max="16384" width="9.140625" style="1"/>
  </cols>
  <sheetData>
    <row r="1" spans="1:16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6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6">
      <c r="A3" s="530" t="s">
        <v>1480</v>
      </c>
      <c r="B3" s="530"/>
      <c r="C3" s="530"/>
      <c r="D3" s="530"/>
      <c r="E3" s="530"/>
      <c r="F3" s="530"/>
      <c r="G3" s="530"/>
      <c r="H3" s="530"/>
      <c r="K3" s="483" t="s">
        <v>6112</v>
      </c>
      <c r="L3" s="483"/>
      <c r="M3" s="483"/>
      <c r="N3" s="483"/>
      <c r="O3" s="483">
        <f>9300*3.0631</f>
        <v>28486.829999999998</v>
      </c>
    </row>
    <row r="4" spans="1:16">
      <c r="A4" s="530" t="s">
        <v>1684</v>
      </c>
      <c r="B4" s="530"/>
      <c r="C4" s="530"/>
      <c r="D4" s="530"/>
      <c r="E4" s="530"/>
      <c r="F4" s="530"/>
      <c r="G4" s="530"/>
      <c r="H4" s="530"/>
      <c r="K4" s="483" t="s">
        <v>6113</v>
      </c>
      <c r="O4" s="483"/>
    </row>
    <row r="5" spans="1:16">
      <c r="K5" s="167" t="s">
        <v>4504</v>
      </c>
      <c r="O5" s="483"/>
    </row>
    <row r="7" spans="1:16">
      <c r="K7" s="483" t="s">
        <v>1697</v>
      </c>
      <c r="O7" s="483">
        <v>10</v>
      </c>
    </row>
    <row r="8" spans="1:16">
      <c r="A8" s="483" t="s">
        <v>24</v>
      </c>
      <c r="B8" s="483"/>
      <c r="C8" s="483"/>
      <c r="D8" s="483"/>
      <c r="E8" s="483"/>
      <c r="F8" s="22" t="s">
        <v>23</v>
      </c>
      <c r="G8" s="483"/>
      <c r="H8" s="483"/>
      <c r="K8" s="483"/>
      <c r="L8" s="483"/>
      <c r="M8" s="483"/>
      <c r="N8" s="483"/>
      <c r="O8" s="483"/>
    </row>
    <row r="9" spans="1:16">
      <c r="A9" s="483"/>
      <c r="B9" s="483"/>
      <c r="C9" s="483"/>
      <c r="D9" s="483"/>
      <c r="E9" s="483"/>
      <c r="F9" s="484" t="s">
        <v>22</v>
      </c>
      <c r="G9" s="488" t="s">
        <v>6750</v>
      </c>
      <c r="H9" s="483"/>
      <c r="K9" s="483" t="s">
        <v>6750</v>
      </c>
      <c r="L9" s="483">
        <v>44001</v>
      </c>
      <c r="M9" s="483" t="s">
        <v>1270</v>
      </c>
      <c r="N9" s="483"/>
      <c r="O9" s="483"/>
    </row>
    <row r="10" spans="1:16">
      <c r="A10" s="483" t="s">
        <v>6340</v>
      </c>
      <c r="B10" s="483"/>
      <c r="C10" s="483"/>
      <c r="D10" s="483"/>
      <c r="E10" s="483"/>
      <c r="F10" s="484" t="s">
        <v>21</v>
      </c>
      <c r="G10" s="488" t="s">
        <v>6695</v>
      </c>
      <c r="H10" s="483"/>
      <c r="J10" s="21"/>
      <c r="K10" s="483" t="s">
        <v>5345</v>
      </c>
      <c r="L10" s="483"/>
      <c r="M10" s="483"/>
    </row>
    <row r="11" spans="1:16">
      <c r="A11" s="483" t="s">
        <v>6751</v>
      </c>
      <c r="B11" s="483"/>
      <c r="C11" s="483"/>
      <c r="D11" s="483"/>
      <c r="E11" s="483"/>
      <c r="F11" s="484" t="s">
        <v>19</v>
      </c>
      <c r="G11" s="488" t="s">
        <v>1094</v>
      </c>
      <c r="H11" s="483"/>
      <c r="J11" s="336"/>
      <c r="K11" s="483" t="s">
        <v>5346</v>
      </c>
      <c r="P11" s="149">
        <f>28485.02*4.16067</f>
        <v>118516.76816339999</v>
      </c>
    </row>
    <row r="12" spans="1:16">
      <c r="A12" s="483" t="s">
        <v>6752</v>
      </c>
      <c r="B12" s="483"/>
      <c r="C12" s="483"/>
      <c r="D12" s="483"/>
      <c r="E12" s="483"/>
      <c r="F12" s="484" t="s">
        <v>17</v>
      </c>
      <c r="G12" s="488" t="s">
        <v>1270</v>
      </c>
      <c r="H12" s="483"/>
      <c r="K12" s="483"/>
    </row>
    <row r="13" spans="1:16">
      <c r="A13" s="483"/>
      <c r="B13" s="483"/>
      <c r="C13" s="483"/>
      <c r="D13" s="483"/>
      <c r="E13" s="483"/>
      <c r="F13" s="483"/>
      <c r="G13" s="488"/>
      <c r="H13" s="483"/>
      <c r="K13" s="483" t="s">
        <v>1697</v>
      </c>
    </row>
    <row r="14" spans="1:16">
      <c r="A14" s="483"/>
      <c r="B14" s="483"/>
      <c r="C14" s="483"/>
      <c r="D14" s="483"/>
      <c r="E14" s="483"/>
      <c r="F14" s="483"/>
      <c r="G14" s="488"/>
      <c r="H14" s="483"/>
    </row>
    <row r="15" spans="1:16">
      <c r="A15" s="483"/>
      <c r="B15" s="483"/>
      <c r="C15" s="483"/>
      <c r="D15" s="483"/>
      <c r="E15" s="483"/>
      <c r="F15" s="483"/>
      <c r="G15" s="483"/>
      <c r="H15" s="483"/>
      <c r="K15" s="483" t="s">
        <v>5347</v>
      </c>
      <c r="L15" s="483"/>
      <c r="M15" s="483"/>
      <c r="N15" s="483"/>
      <c r="O15" s="483">
        <f>4050*2.9926996</f>
        <v>12120.43338</v>
      </c>
    </row>
    <row r="16" spans="1:16" s="15" customFormat="1" ht="20.100000000000001" customHeight="1">
      <c r="A16" s="18" t="s">
        <v>1140</v>
      </c>
      <c r="B16" s="496" t="s">
        <v>1098</v>
      </c>
      <c r="C16" s="496"/>
      <c r="D16" s="19" t="s">
        <v>14</v>
      </c>
      <c r="E16" s="19"/>
      <c r="F16" s="18"/>
      <c r="G16" s="17"/>
      <c r="H16" s="16" t="s">
        <v>13</v>
      </c>
      <c r="K16" s="483"/>
      <c r="L16" s="1"/>
      <c r="M16" s="1"/>
      <c r="N16" s="1"/>
      <c r="O16" s="483"/>
    </row>
    <row r="17" spans="1:18">
      <c r="A17" s="483"/>
      <c r="B17" s="483"/>
      <c r="C17" s="483"/>
      <c r="D17" s="483"/>
      <c r="E17" s="483"/>
      <c r="F17" s="483"/>
      <c r="G17" s="483"/>
      <c r="H17" s="483"/>
      <c r="K17" s="483" t="s">
        <v>5348</v>
      </c>
      <c r="O17" s="483"/>
    </row>
    <row r="18" spans="1:18">
      <c r="A18" s="483"/>
      <c r="B18" s="483"/>
      <c r="C18" s="483"/>
      <c r="D18" s="482" t="s">
        <v>6753</v>
      </c>
      <c r="E18" s="482"/>
      <c r="F18" s="483"/>
      <c r="G18" s="483"/>
      <c r="H18" s="483"/>
    </row>
    <row r="19" spans="1:18">
      <c r="A19" s="483"/>
      <c r="B19" s="483"/>
      <c r="C19" s="483"/>
      <c r="D19" s="482"/>
      <c r="E19" s="482"/>
      <c r="F19" s="483"/>
      <c r="G19" s="483"/>
      <c r="H19" s="483"/>
      <c r="K19" s="483" t="s">
        <v>5349</v>
      </c>
      <c r="L19" s="483"/>
      <c r="M19" s="483"/>
      <c r="N19" s="483"/>
      <c r="O19" s="483">
        <f>9300*2.9926996</f>
        <v>27832.10628</v>
      </c>
    </row>
    <row r="20" spans="1:18">
      <c r="A20" s="485" t="s">
        <v>6754</v>
      </c>
      <c r="B20" s="485" t="s">
        <v>6755</v>
      </c>
      <c r="C20" s="485"/>
      <c r="D20" s="483" t="s">
        <v>6756</v>
      </c>
      <c r="E20" s="483"/>
      <c r="F20" s="483"/>
      <c r="G20" s="483"/>
      <c r="H20" s="149">
        <f>45650*4.3346998</f>
        <v>197879.04587</v>
      </c>
      <c r="K20" s="483"/>
      <c r="L20" s="483"/>
      <c r="M20" s="483"/>
      <c r="N20" s="483"/>
      <c r="O20" s="483"/>
      <c r="Q20" s="498">
        <f>193230.19/46430.59</f>
        <v>4.1617000774704787</v>
      </c>
    </row>
    <row r="21" spans="1:18">
      <c r="A21" s="483"/>
      <c r="B21" s="486"/>
      <c r="C21" s="486"/>
      <c r="D21" s="486" t="s">
        <v>6757</v>
      </c>
      <c r="H21" s="483"/>
      <c r="K21" s="483" t="s">
        <v>5350</v>
      </c>
      <c r="L21" s="483"/>
      <c r="O21" s="483"/>
    </row>
    <row r="22" spans="1:18">
      <c r="A22" s="485"/>
      <c r="B22" s="485"/>
      <c r="C22" s="485"/>
      <c r="D22" s="483"/>
      <c r="H22" s="483"/>
    </row>
    <row r="23" spans="1:18">
      <c r="D23" s="483" t="s">
        <v>1697</v>
      </c>
      <c r="H23" s="483">
        <v>30</v>
      </c>
      <c r="K23" s="483" t="s">
        <v>2831</v>
      </c>
      <c r="O23" s="483">
        <v>10</v>
      </c>
    </row>
    <row r="24" spans="1:18">
      <c r="A24" s="485"/>
      <c r="B24" s="485"/>
      <c r="C24" s="486"/>
      <c r="K24" s="483"/>
      <c r="L24" s="483"/>
    </row>
    <row r="25" spans="1:18">
      <c r="A25" s="485"/>
      <c r="B25" s="485"/>
      <c r="C25" s="485"/>
      <c r="D25" s="483"/>
      <c r="E25" s="483"/>
      <c r="F25" s="483"/>
      <c r="G25" s="483"/>
      <c r="H25" s="483"/>
      <c r="K25" s="483" t="s">
        <v>5351</v>
      </c>
      <c r="L25" s="483"/>
      <c r="M25" s="483"/>
      <c r="N25" s="483"/>
      <c r="O25" s="483">
        <f>9300*3.0413</f>
        <v>28284.09</v>
      </c>
    </row>
    <row r="26" spans="1:18">
      <c r="A26" s="483"/>
      <c r="B26" s="483"/>
      <c r="C26" s="483"/>
      <c r="D26" s="483"/>
      <c r="E26" s="483"/>
      <c r="F26" s="483"/>
      <c r="G26" s="483"/>
      <c r="H26" s="483"/>
      <c r="K26" s="483" t="s">
        <v>5352</v>
      </c>
      <c r="O26" s="483"/>
    </row>
    <row r="27" spans="1:18">
      <c r="A27" s="485"/>
      <c r="B27" s="485"/>
      <c r="C27" s="486"/>
      <c r="D27" s="483"/>
      <c r="E27" s="483"/>
      <c r="H27" s="483"/>
      <c r="K27" s="483"/>
      <c r="O27" s="483"/>
    </row>
    <row r="28" spans="1:18">
      <c r="A28" s="485"/>
      <c r="B28" s="485"/>
      <c r="C28" s="486"/>
      <c r="D28" s="483"/>
      <c r="E28" s="483"/>
      <c r="H28" s="483"/>
      <c r="K28" s="483"/>
      <c r="O28" s="483"/>
    </row>
    <row r="29" spans="1:18">
      <c r="K29" s="483" t="s">
        <v>5353</v>
      </c>
      <c r="O29" s="483">
        <f>4050*3.0413</f>
        <v>12317.265000000001</v>
      </c>
    </row>
    <row r="30" spans="1:18">
      <c r="A30" s="483"/>
      <c r="B30" s="483"/>
      <c r="C30" s="483"/>
      <c r="D30" s="483"/>
      <c r="H30" s="483"/>
      <c r="K30" s="483" t="s">
        <v>5354</v>
      </c>
      <c r="L30" s="483"/>
      <c r="M30" s="483"/>
      <c r="N30" s="483"/>
      <c r="O30" s="483"/>
    </row>
    <row r="31" spans="1:18">
      <c r="A31" s="483"/>
      <c r="B31" s="483"/>
      <c r="C31" s="483"/>
      <c r="K31" s="485" t="s">
        <v>6114</v>
      </c>
      <c r="L31" s="485" t="s">
        <v>6115</v>
      </c>
      <c r="M31" s="486"/>
      <c r="N31" s="483" t="s">
        <v>6116</v>
      </c>
      <c r="R31" s="483">
        <f>18200*3.0647</f>
        <v>55777.54</v>
      </c>
    </row>
    <row r="32" spans="1:18">
      <c r="A32" s="483"/>
      <c r="B32" s="483"/>
      <c r="C32" s="483"/>
      <c r="K32" s="485"/>
      <c r="L32" s="485"/>
      <c r="M32" s="485"/>
      <c r="N32" s="483" t="s">
        <v>6117</v>
      </c>
      <c r="O32" s="483"/>
      <c r="P32" s="483"/>
      <c r="Q32" s="483"/>
      <c r="R32" s="483"/>
    </row>
    <row r="33" spans="1:18">
      <c r="A33" s="483"/>
      <c r="B33" s="483"/>
      <c r="C33" s="483"/>
      <c r="K33" s="485" t="s">
        <v>6114</v>
      </c>
      <c r="L33" s="485" t="s">
        <v>6118</v>
      </c>
      <c r="M33" s="486"/>
      <c r="N33" s="483" t="s">
        <v>6119</v>
      </c>
      <c r="O33" s="483"/>
      <c r="R33" s="483">
        <f>3000*3.0647</f>
        <v>9194.1</v>
      </c>
    </row>
    <row r="34" spans="1:18">
      <c r="A34" s="483"/>
      <c r="B34" s="483"/>
      <c r="C34" s="483"/>
      <c r="D34" s="483"/>
      <c r="E34" s="483"/>
      <c r="F34" s="483"/>
      <c r="G34" s="483"/>
      <c r="H34" s="483"/>
    </row>
    <row r="35" spans="1:18" ht="13.5" thickBot="1">
      <c r="A35" s="483"/>
      <c r="B35" s="483"/>
      <c r="C35" s="483"/>
      <c r="D35" s="483"/>
      <c r="E35" s="483"/>
      <c r="F35" s="483"/>
      <c r="G35" s="483"/>
      <c r="H35" s="117">
        <f>SUM(H18:H34)</f>
        <v>197909.04587</v>
      </c>
    </row>
    <row r="36" spans="1:18" ht="13.5" thickTop="1">
      <c r="A36" s="483"/>
      <c r="B36" s="483"/>
      <c r="C36" s="483"/>
      <c r="D36" s="483"/>
      <c r="E36" s="483"/>
    </row>
    <row r="37" spans="1:1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>One Hundred Ninety-Seven Thousand Nine Hundred Nine and 5/100 -----------</v>
      </c>
      <c r="C37" s="204"/>
      <c r="D37" s="119"/>
      <c r="E37" s="119"/>
      <c r="F37" s="119"/>
      <c r="G37" s="119"/>
      <c r="H37" s="119"/>
      <c r="K37" s="483" t="s">
        <v>6335</v>
      </c>
      <c r="L37" s="483"/>
      <c r="M37" s="483"/>
      <c r="N37" s="483"/>
      <c r="O37" s="483">
        <f>18200*3.0812</f>
        <v>56077.84</v>
      </c>
    </row>
    <row r="38" spans="1:18" ht="20.100000000000001" customHeight="1">
      <c r="A38" s="160"/>
      <c r="B38" s="494"/>
      <c r="C38" s="494"/>
      <c r="D38" s="126"/>
      <c r="E38" s="126"/>
      <c r="F38" s="126"/>
      <c r="G38" s="126"/>
      <c r="H38" s="126"/>
      <c r="K38" s="483" t="s">
        <v>6336</v>
      </c>
      <c r="O38" s="483"/>
    </row>
    <row r="39" spans="1:18" ht="25.5">
      <c r="A39" s="486" t="s">
        <v>3060</v>
      </c>
      <c r="B39" s="483"/>
      <c r="C39" s="483"/>
      <c r="D39" s="487" t="s">
        <v>8</v>
      </c>
      <c r="E39" s="483"/>
      <c r="F39" s="265" t="s">
        <v>2894</v>
      </c>
      <c r="G39" s="266"/>
      <c r="H39" s="267"/>
      <c r="K39" s="167"/>
      <c r="O39" s="483"/>
    </row>
    <row r="40" spans="1:18">
      <c r="A40" s="483"/>
      <c r="B40" s="483"/>
      <c r="C40" s="483"/>
      <c r="D40" s="483"/>
      <c r="E40" s="483"/>
      <c r="F40" s="310"/>
      <c r="G40" s="311"/>
      <c r="H40" s="311"/>
      <c r="K40" s="483" t="s">
        <v>6337</v>
      </c>
      <c r="O40" s="483">
        <f>3000*3.0812</f>
        <v>9243.6</v>
      </c>
    </row>
    <row r="41" spans="1:18">
      <c r="B41" s="483"/>
      <c r="C41" s="483"/>
      <c r="D41" s="483"/>
      <c r="E41" s="483"/>
      <c r="F41" s="483"/>
      <c r="G41" s="483"/>
      <c r="H41" s="483"/>
      <c r="K41" s="483" t="s">
        <v>6338</v>
      </c>
      <c r="O41" s="483"/>
    </row>
    <row r="42" spans="1:18">
      <c r="A42" s="483"/>
      <c r="B42" s="483"/>
      <c r="C42" s="483"/>
      <c r="D42" s="483"/>
      <c r="E42" s="483"/>
      <c r="F42" s="483"/>
      <c r="G42" s="483"/>
      <c r="H42" s="483"/>
      <c r="K42" s="483"/>
      <c r="L42" s="483"/>
      <c r="M42" s="483"/>
      <c r="N42" s="483"/>
      <c r="O42" s="483"/>
    </row>
    <row r="43" spans="1:18">
      <c r="A43" s="122"/>
      <c r="B43" s="122"/>
      <c r="C43" s="483"/>
      <c r="D43" s="122"/>
      <c r="E43" s="483"/>
      <c r="F43" s="483"/>
      <c r="G43" s="483"/>
      <c r="H43" s="483"/>
    </row>
    <row r="44" spans="1:18">
      <c r="A44" s="483"/>
      <c r="B44" s="483"/>
      <c r="C44" s="483"/>
      <c r="D44" s="151" t="s">
        <v>103</v>
      </c>
      <c r="E44" s="483"/>
      <c r="F44" s="483"/>
      <c r="G44" s="483"/>
      <c r="H44" s="483"/>
    </row>
    <row r="45" spans="1:18">
      <c r="A45" s="483"/>
      <c r="B45" s="483"/>
      <c r="C45" s="483"/>
      <c r="D45" s="151"/>
      <c r="E45" s="483"/>
      <c r="F45" s="483"/>
      <c r="G45" s="483"/>
      <c r="H45" s="483"/>
    </row>
    <row r="46" spans="1:18">
      <c r="A46" s="487" t="s">
        <v>8</v>
      </c>
      <c r="B46" s="483"/>
      <c r="C46" s="483"/>
      <c r="D46" s="487" t="s">
        <v>8</v>
      </c>
      <c r="E46" s="483"/>
      <c r="F46" s="487" t="s">
        <v>7</v>
      </c>
      <c r="G46" s="483"/>
      <c r="H46" s="124"/>
    </row>
    <row r="47" spans="1:18">
      <c r="A47" s="483"/>
      <c r="B47" s="483"/>
      <c r="C47" s="483"/>
      <c r="D47" s="483"/>
      <c r="E47" s="483"/>
      <c r="F47" s="483"/>
      <c r="G47" s="483"/>
      <c r="H47" s="483"/>
    </row>
    <row r="48" spans="1:18">
      <c r="A48" s="483"/>
      <c r="B48" s="483"/>
      <c r="C48" s="483"/>
      <c r="D48" s="483"/>
      <c r="E48" s="483"/>
      <c r="F48" s="483"/>
      <c r="G48" s="483"/>
      <c r="H48" s="483"/>
    </row>
    <row r="49" spans="1:8">
      <c r="A49" s="483"/>
      <c r="B49" s="483"/>
      <c r="C49" s="483"/>
      <c r="D49" s="483"/>
      <c r="E49" s="483"/>
      <c r="F49" s="483"/>
      <c r="G49" s="483"/>
      <c r="H49" s="483"/>
    </row>
    <row r="50" spans="1:8">
      <c r="A50" s="122"/>
      <c r="B50" s="122"/>
      <c r="C50" s="483"/>
      <c r="D50" s="122"/>
      <c r="E50" s="483"/>
      <c r="F50" s="122"/>
      <c r="G50" s="122"/>
      <c r="H50" s="122"/>
    </row>
    <row r="51" spans="1:8" s="3" customFormat="1" ht="17.100000000000001" customHeight="1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</row>
    <row r="52" spans="1:8">
      <c r="A52" s="483"/>
      <c r="B52" s="483"/>
      <c r="C52" s="483"/>
      <c r="D52" s="483"/>
      <c r="E52" s="483"/>
      <c r="F52" s="483" t="s">
        <v>2</v>
      </c>
      <c r="G52" s="483"/>
      <c r="H52" s="483"/>
    </row>
    <row r="53" spans="1:8">
      <c r="A53" s="483"/>
      <c r="B53" s="483"/>
      <c r="C53" s="483"/>
      <c r="D53" s="483"/>
      <c r="E53" s="483"/>
      <c r="F53" s="483"/>
      <c r="G53" s="483"/>
      <c r="H53" s="483"/>
    </row>
    <row r="54" spans="1:8">
      <c r="A54" s="483"/>
      <c r="B54" s="483"/>
      <c r="C54" s="483"/>
      <c r="D54" s="483"/>
      <c r="E54" s="483"/>
      <c r="F54" s="482" t="s">
        <v>1</v>
      </c>
      <c r="G54" s="483"/>
      <c r="H54" s="483"/>
    </row>
    <row r="55" spans="1:8">
      <c r="A55" s="483"/>
      <c r="B55" s="483"/>
      <c r="C55" s="483"/>
      <c r="D55" s="483"/>
      <c r="E55" s="483"/>
      <c r="F55" s="482" t="s">
        <v>0</v>
      </c>
      <c r="G55" s="483"/>
      <c r="H55" s="483"/>
    </row>
    <row r="56" spans="1:8">
      <c r="A56" s="483"/>
      <c r="B56" s="483"/>
      <c r="C56" s="483"/>
      <c r="D56" s="483"/>
      <c r="E56" s="483"/>
      <c r="F56" s="483"/>
      <c r="G56" s="483"/>
      <c r="H56" s="483"/>
    </row>
    <row r="57" spans="1:8">
      <c r="A57" s="483"/>
      <c r="B57" s="483"/>
      <c r="C57" s="483"/>
      <c r="D57" s="483"/>
      <c r="E57" s="483"/>
      <c r="F57" s="483"/>
      <c r="G57" s="483"/>
      <c r="H57" s="483"/>
    </row>
    <row r="58" spans="1:8">
      <c r="A58" s="483"/>
      <c r="B58" s="483"/>
      <c r="C58" s="483"/>
      <c r="D58" s="483"/>
      <c r="E58" s="483"/>
      <c r="F58" s="483"/>
      <c r="G58" s="483"/>
      <c r="H58" s="483"/>
    </row>
    <row r="59" spans="1:8">
      <c r="A59" s="483"/>
      <c r="B59" s="483"/>
      <c r="C59" s="483"/>
      <c r="D59" s="483"/>
      <c r="E59" s="483"/>
      <c r="F59" s="483"/>
      <c r="G59" s="483"/>
      <c r="H59" s="483"/>
    </row>
    <row r="60" spans="1:8">
      <c r="A60" s="483"/>
      <c r="B60" s="483"/>
      <c r="C60" s="483"/>
      <c r="D60" s="483"/>
      <c r="E60" s="483"/>
      <c r="F60" s="483"/>
      <c r="G60" s="483"/>
      <c r="H60" s="483"/>
    </row>
    <row r="61" spans="1:8">
      <c r="A61" s="483"/>
      <c r="B61" s="483"/>
      <c r="C61" s="483"/>
      <c r="D61" s="483"/>
      <c r="E61" s="483"/>
      <c r="F61" s="483"/>
      <c r="G61" s="483"/>
      <c r="H61" s="483"/>
    </row>
    <row r="62" spans="1:8">
      <c r="A62" s="483"/>
      <c r="B62" s="483"/>
      <c r="C62" s="483"/>
      <c r="D62" s="483"/>
      <c r="E62" s="483"/>
      <c r="F62" s="483"/>
      <c r="G62" s="483"/>
      <c r="H62" s="483"/>
    </row>
    <row r="63" spans="1:8">
      <c r="A63" s="483"/>
      <c r="B63" s="483"/>
      <c r="C63" s="483"/>
      <c r="D63" s="483"/>
      <c r="E63" s="483"/>
      <c r="F63" s="483"/>
      <c r="G63" s="483"/>
      <c r="H63" s="483"/>
    </row>
    <row r="64" spans="1:8">
      <c r="A64" s="483"/>
      <c r="B64" s="483"/>
      <c r="C64" s="483"/>
      <c r="D64" s="483"/>
      <c r="E64" s="483"/>
      <c r="F64" s="483"/>
      <c r="G64" s="483"/>
      <c r="H64" s="483"/>
    </row>
    <row r="65" spans="1:8">
      <c r="A65" s="483"/>
      <c r="B65" s="483"/>
      <c r="C65" s="483"/>
      <c r="D65" s="483"/>
      <c r="E65" s="483"/>
      <c r="F65" s="483"/>
      <c r="G65" s="483"/>
      <c r="H65" s="48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390">
    <pageSetUpPr fitToPage="1"/>
  </sheetPr>
  <dimension ref="A1:F54"/>
  <sheetViews>
    <sheetView topLeftCell="A7" workbookViewId="0">
      <selection activeCell="G9" sqref="G9:G13"/>
    </sheetView>
  </sheetViews>
  <sheetFormatPr defaultRowHeight="12.75"/>
  <cols>
    <col min="1" max="1" width="16" style="111" customWidth="1"/>
    <col min="2" max="2" width="13.42578125" style="111" customWidth="1"/>
    <col min="3" max="3" width="19.42578125" style="111" customWidth="1"/>
    <col min="4" max="4" width="14.42578125" style="111" customWidth="1"/>
    <col min="5" max="5" width="9" style="111" customWidth="1"/>
    <col min="6" max="6" width="13.28515625" style="11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A9" s="111" t="s">
        <v>3450</v>
      </c>
      <c r="D9" s="112" t="s">
        <v>1110</v>
      </c>
      <c r="E9" s="131" t="s">
        <v>3448</v>
      </c>
    </row>
    <row r="10" spans="1:6">
      <c r="A10" s="111" t="s">
        <v>3451</v>
      </c>
      <c r="D10" s="112" t="s">
        <v>1685</v>
      </c>
      <c r="E10" s="143" t="s">
        <v>3447</v>
      </c>
    </row>
    <row r="11" spans="1:6">
      <c r="A11" s="111" t="s">
        <v>3452</v>
      </c>
      <c r="D11" s="112" t="s">
        <v>1163</v>
      </c>
      <c r="E11" s="132" t="s">
        <v>1094</v>
      </c>
    </row>
    <row r="12" spans="1:6">
      <c r="A12" s="111" t="s">
        <v>3453</v>
      </c>
      <c r="D12" s="112" t="s">
        <v>1135</v>
      </c>
      <c r="E12" s="140" t="s">
        <v>3449</v>
      </c>
    </row>
    <row r="13" spans="1:6">
      <c r="A13" s="111" t="s">
        <v>3454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73"/>
    </row>
    <row r="18" spans="1:6">
      <c r="C18" s="2" t="s">
        <v>3455</v>
      </c>
    </row>
    <row r="19" spans="1:6">
      <c r="C19" s="2" t="s">
        <v>3456</v>
      </c>
    </row>
    <row r="20" spans="1:6">
      <c r="A20" s="121"/>
      <c r="B20" s="121"/>
      <c r="C20" s="2"/>
    </row>
    <row r="21" spans="1:6">
      <c r="A21" s="116" t="s">
        <v>3457</v>
      </c>
      <c r="B21" s="116" t="s">
        <v>3458</v>
      </c>
      <c r="C21" s="111" t="s">
        <v>3459</v>
      </c>
      <c r="F21" s="111">
        <f>250*18</f>
        <v>4500</v>
      </c>
    </row>
    <row r="22" spans="1:6">
      <c r="A22" s="121"/>
      <c r="B22" s="121"/>
      <c r="C22" s="111" t="s">
        <v>3460</v>
      </c>
    </row>
    <row r="24" spans="1:6">
      <c r="A24" s="175"/>
      <c r="C24" s="111" t="s">
        <v>3461</v>
      </c>
      <c r="F24" s="111">
        <f>18*3</f>
        <v>54</v>
      </c>
    </row>
    <row r="26" spans="1:6">
      <c r="C26" s="111" t="s">
        <v>1814</v>
      </c>
      <c r="F26" s="111">
        <f>F21*6%</f>
        <v>270</v>
      </c>
    </row>
    <row r="27" spans="1:6">
      <c r="C27" s="2"/>
    </row>
    <row r="28" spans="1:6">
      <c r="C28" s="2"/>
    </row>
    <row r="32" spans="1:6">
      <c r="B32" s="116"/>
    </row>
    <row r="33" spans="1:6">
      <c r="A33" s="112"/>
      <c r="B33" s="1"/>
    </row>
    <row r="34" spans="1:6">
      <c r="A34" s="173"/>
    </row>
    <row r="35" spans="1:6" ht="13.5" thickBot="1">
      <c r="A35" s="173"/>
      <c r="F35" s="117">
        <f>SUM(F20:F34)</f>
        <v>4824</v>
      </c>
    </row>
    <row r="36" spans="1:6" ht="13.5" thickTop="1">
      <c r="A36" s="173"/>
    </row>
    <row r="37" spans="1:6" ht="20.100000000000001" customHeight="1">
      <c r="A37" s="118" t="s">
        <v>1686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Four Thousand Eight Hundred Twenty-Four and NO/100 -----------</v>
      </c>
      <c r="C37" s="119"/>
      <c r="D37" s="119"/>
      <c r="E37" s="119"/>
      <c r="F37" s="119"/>
    </row>
    <row r="38" spans="1:6">
      <c r="A38" s="120"/>
    </row>
    <row r="39" spans="1:6" ht="25.5">
      <c r="A39" s="111" t="s">
        <v>10</v>
      </c>
      <c r="D39" s="265" t="s">
        <v>2894</v>
      </c>
      <c r="E39" s="266"/>
      <c r="F39" s="267"/>
    </row>
    <row r="40" spans="1:6">
      <c r="A40" s="126"/>
    </row>
    <row r="42" spans="1:6">
      <c r="A42" s="111" t="s">
        <v>51</v>
      </c>
      <c r="C42" s="121"/>
    </row>
    <row r="43" spans="1:6">
      <c r="A43" s="122"/>
      <c r="B43" s="122"/>
    </row>
    <row r="45" spans="1:6">
      <c r="A45" s="111" t="s">
        <v>8</v>
      </c>
      <c r="D45" s="123" t="s">
        <v>7</v>
      </c>
      <c r="F45" s="124"/>
    </row>
    <row r="49" spans="1:6">
      <c r="A49" s="122" t="s">
        <v>51</v>
      </c>
      <c r="B49" s="122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51"/>
      <c r="D51" s="111" t="s">
        <v>2</v>
      </c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1-000000000000}">
  <sheetPr codeName="Sheet250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2068</v>
      </c>
      <c r="F9" s="111"/>
    </row>
    <row r="10" spans="1:6">
      <c r="A10" s="111" t="s">
        <v>2070</v>
      </c>
      <c r="B10" s="111"/>
      <c r="C10" s="111"/>
      <c r="D10" s="112" t="s">
        <v>1162</v>
      </c>
      <c r="E10" s="123" t="s">
        <v>2067</v>
      </c>
      <c r="F10" s="111"/>
    </row>
    <row r="11" spans="1:6">
      <c r="A11" s="111" t="s">
        <v>2072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2071</v>
      </c>
      <c r="B12" s="111"/>
      <c r="C12" s="111"/>
      <c r="D12" s="112" t="s">
        <v>1096</v>
      </c>
      <c r="E12" s="112" t="s">
        <v>2069</v>
      </c>
      <c r="F12" s="111"/>
    </row>
    <row r="13" spans="1:6">
      <c r="A13" s="111" t="s">
        <v>1287</v>
      </c>
      <c r="B13" s="111"/>
      <c r="C13" s="111"/>
      <c r="D13" s="111"/>
      <c r="E13" s="111"/>
      <c r="F13" s="111"/>
    </row>
    <row r="14" spans="1:6">
      <c r="A14" s="111" t="s">
        <v>2073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2" t="s">
        <v>2074</v>
      </c>
      <c r="D18" s="111"/>
      <c r="E18" s="111"/>
      <c r="F18" s="111"/>
    </row>
    <row r="19" spans="1:6">
      <c r="B19" s="116"/>
      <c r="C19" s="111"/>
      <c r="D19" s="111"/>
      <c r="E19" s="111"/>
      <c r="F19" s="111"/>
    </row>
    <row r="20" spans="1:6">
      <c r="A20" s="116" t="s">
        <v>2075</v>
      </c>
      <c r="B20" s="121" t="s">
        <v>2076</v>
      </c>
      <c r="C20" s="111" t="s">
        <v>2078</v>
      </c>
      <c r="D20" s="111"/>
      <c r="E20" s="111"/>
      <c r="F20" s="111">
        <v>480</v>
      </c>
    </row>
    <row r="21" spans="1:6">
      <c r="A21" s="112"/>
      <c r="B21" s="111"/>
      <c r="C21" s="111"/>
      <c r="D21" s="111"/>
      <c r="E21" s="111"/>
      <c r="F21" s="111"/>
    </row>
    <row r="22" spans="1:6">
      <c r="A22" s="111"/>
      <c r="B22" s="111"/>
      <c r="C22" s="111"/>
      <c r="D22" s="111"/>
      <c r="E22" s="111"/>
      <c r="F22" s="111"/>
    </row>
    <row r="23" spans="1:6">
      <c r="A23" s="111"/>
      <c r="B23" s="111"/>
      <c r="C23" s="111"/>
      <c r="D23" s="111"/>
      <c r="E23" s="111"/>
      <c r="F23" s="111"/>
    </row>
    <row r="24" spans="1:6">
      <c r="A24" s="111"/>
      <c r="B24" s="111"/>
      <c r="C24" s="111"/>
      <c r="D24" s="111"/>
      <c r="E24" s="111"/>
      <c r="F24" s="111"/>
    </row>
    <row r="25" spans="1:6">
      <c r="A25" s="111"/>
      <c r="B25" s="111"/>
      <c r="C25" s="111"/>
      <c r="D25" s="111"/>
      <c r="E25" s="111"/>
      <c r="F25" s="111"/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480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2077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399"/>
  <dimension ref="A1:H52"/>
  <sheetViews>
    <sheetView view="pageBreakPreview" topLeftCell="A4" zoomScaleNormal="100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3.7109375" style="111" customWidth="1"/>
    <col min="3" max="3" width="1.28515625" style="111" customWidth="1"/>
    <col min="4" max="4" width="18.85546875" style="111" customWidth="1"/>
    <col min="5" max="5" width="1.5703125" style="111" customWidth="1"/>
    <col min="6" max="6" width="13.28515625" style="111" customWidth="1"/>
    <col min="7" max="7" width="10.140625" style="111" customWidth="1"/>
    <col min="8" max="8" width="13.28515625" style="11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A9" s="111" t="s">
        <v>3701</v>
      </c>
      <c r="F9" s="112" t="s">
        <v>1110</v>
      </c>
      <c r="G9" s="489" t="s">
        <v>7256</v>
      </c>
    </row>
    <row r="10" spans="1:8">
      <c r="A10" s="111" t="s">
        <v>3702</v>
      </c>
      <c r="F10" s="112" t="s">
        <v>1685</v>
      </c>
      <c r="G10" s="489" t="s">
        <v>7255</v>
      </c>
    </row>
    <row r="11" spans="1:8">
      <c r="A11" s="111" t="s">
        <v>3703</v>
      </c>
      <c r="F11" s="112" t="s">
        <v>1163</v>
      </c>
      <c r="G11" s="489" t="s">
        <v>1094</v>
      </c>
    </row>
    <row r="12" spans="1:8">
      <c r="A12" s="111" t="s">
        <v>1308</v>
      </c>
      <c r="F12" s="112" t="s">
        <v>1188</v>
      </c>
      <c r="G12" s="483" t="s">
        <v>7257</v>
      </c>
    </row>
    <row r="13" spans="1:8">
      <c r="G13" s="483" t="s">
        <v>5914</v>
      </c>
    </row>
    <row r="16" spans="1:8" s="15" customFormat="1" ht="20.100000000000001" customHeight="1">
      <c r="A16" s="129" t="s">
        <v>1097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73"/>
    </row>
    <row r="18" spans="1:8">
      <c r="D18" s="2" t="s">
        <v>3479</v>
      </c>
      <c r="E18" s="2"/>
    </row>
    <row r="19" spans="1:8">
      <c r="A19" s="173"/>
      <c r="D19" s="2"/>
      <c r="E19" s="2"/>
    </row>
    <row r="20" spans="1:8">
      <c r="A20" s="485" t="s">
        <v>7258</v>
      </c>
      <c r="B20" s="485" t="s">
        <v>7259</v>
      </c>
      <c r="C20" s="116"/>
      <c r="D20" s="111" t="s">
        <v>7260</v>
      </c>
      <c r="H20" s="111">
        <v>3500</v>
      </c>
    </row>
    <row r="21" spans="1:8">
      <c r="A21" s="112"/>
      <c r="D21" s="111" t="s">
        <v>5124</v>
      </c>
      <c r="H21" s="111">
        <f>H20*6%</f>
        <v>210</v>
      </c>
    </row>
    <row r="23" spans="1:8">
      <c r="A23" s="116"/>
      <c r="B23" s="116"/>
      <c r="C23" s="116"/>
    </row>
    <row r="24" spans="1:8">
      <c r="A24" s="112"/>
    </row>
    <row r="25" spans="1:8">
      <c r="A25" s="112"/>
    </row>
    <row r="26" spans="1:8">
      <c r="A26" s="116"/>
      <c r="B26" s="116"/>
      <c r="C26" s="116"/>
    </row>
    <row r="27" spans="1:8">
      <c r="A27" s="112"/>
    </row>
    <row r="29" spans="1:8">
      <c r="A29" s="116"/>
    </row>
    <row r="30" spans="1:8">
      <c r="A30" s="116"/>
      <c r="B30" s="1"/>
      <c r="C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73"/>
      <c r="H32" s="1"/>
    </row>
    <row r="33" spans="1:8" ht="13.5" thickBot="1">
      <c r="A33" s="173"/>
      <c r="H33" s="117">
        <f>SUM(H19:H31)</f>
        <v>3710</v>
      </c>
    </row>
    <row r="34" spans="1:8" ht="13.5" thickTop="1">
      <c r="A34" s="173"/>
    </row>
    <row r="35" spans="1:8" ht="20.100000000000001" customHeight="1">
      <c r="A35" s="118" t="s">
        <v>1686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Three Thousand Seven Hundred Ten and NO/100 -----------</v>
      </c>
      <c r="C35" s="202"/>
      <c r="D35" s="119"/>
      <c r="E35" s="119"/>
      <c r="F35" s="119"/>
      <c r="G35" s="119"/>
      <c r="H35" s="119"/>
    </row>
    <row r="36" spans="1:8">
      <c r="A36" s="120"/>
    </row>
    <row r="37" spans="1:8">
      <c r="A37" s="111" t="s">
        <v>10</v>
      </c>
    </row>
    <row r="38" spans="1:8" ht="25.5">
      <c r="F38" s="265" t="s">
        <v>2894</v>
      </c>
      <c r="G38" s="266"/>
      <c r="H38" s="267"/>
    </row>
    <row r="39" spans="1:8">
      <c r="F39" s="309"/>
      <c r="G39" s="309"/>
      <c r="H39" s="309"/>
    </row>
    <row r="40" spans="1:8">
      <c r="A40" s="111" t="s">
        <v>51</v>
      </c>
      <c r="D40" s="121"/>
      <c r="E40" s="121"/>
      <c r="F40" s="310"/>
      <c r="G40" s="311"/>
      <c r="H40" s="311"/>
    </row>
    <row r="41" spans="1:8">
      <c r="A41" s="35"/>
      <c r="B41" s="122"/>
    </row>
    <row r="43" spans="1:8">
      <c r="A43" s="111" t="s">
        <v>8</v>
      </c>
      <c r="D43" s="111" t="s">
        <v>8</v>
      </c>
      <c r="F43" s="123" t="s">
        <v>7</v>
      </c>
      <c r="H43" s="124"/>
    </row>
    <row r="47" spans="1:8">
      <c r="A47" s="122"/>
      <c r="B47" s="122"/>
      <c r="D47" s="122"/>
      <c r="F47" s="122"/>
      <c r="G47" s="122"/>
      <c r="H47" s="122"/>
    </row>
    <row r="48" spans="1:8" s="3" customFormat="1" ht="17.100000000000001" customHeight="1">
      <c r="A48" s="111" t="s">
        <v>2948</v>
      </c>
      <c r="B48" s="125"/>
      <c r="C48" s="125"/>
      <c r="D48" s="111" t="s">
        <v>103</v>
      </c>
      <c r="E48" s="126"/>
      <c r="F48" s="126" t="s">
        <v>3</v>
      </c>
      <c r="G48" s="126"/>
      <c r="H48" s="126"/>
    </row>
    <row r="49" spans="6:6">
      <c r="F49" s="111" t="s">
        <v>2</v>
      </c>
    </row>
    <row r="51" spans="6:6">
      <c r="F51" s="2" t="s">
        <v>1</v>
      </c>
    </row>
    <row r="52" spans="6:6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480">
    <pageSetUpPr fitToPage="1"/>
  </sheetPr>
  <dimension ref="A1:H55"/>
  <sheetViews>
    <sheetView topLeftCell="A7" workbookViewId="0">
      <selection activeCell="G9" sqref="G9:G13"/>
    </sheetView>
  </sheetViews>
  <sheetFormatPr defaultRowHeight="12.75"/>
  <cols>
    <col min="1" max="1" width="15.42578125" style="131" customWidth="1"/>
    <col min="2" max="2" width="15" style="131" customWidth="1"/>
    <col min="3" max="3" width="0.85546875" style="131" customWidth="1"/>
    <col min="4" max="4" width="21" style="131" customWidth="1"/>
    <col min="5" max="5" width="0.85546875" style="131" customWidth="1"/>
    <col min="6" max="6" width="12.28515625" style="131" customWidth="1"/>
    <col min="7" max="7" width="9.28515625" style="131" customWidth="1"/>
    <col min="8" max="8" width="13.28515625" style="131" customWidth="1"/>
    <col min="9" max="16384" width="9.140625" style="131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1716</v>
      </c>
      <c r="G9" s="489" t="s">
        <v>6585</v>
      </c>
    </row>
    <row r="10" spans="1:8">
      <c r="A10" s="131" t="s">
        <v>4694</v>
      </c>
      <c r="F10" s="132" t="s">
        <v>1162</v>
      </c>
      <c r="G10" s="132" t="s">
        <v>6572</v>
      </c>
    </row>
    <row r="11" spans="1:8">
      <c r="A11" s="131" t="s">
        <v>4695</v>
      </c>
      <c r="F11" s="132" t="s">
        <v>1163</v>
      </c>
      <c r="G11" s="132" t="s">
        <v>1094</v>
      </c>
    </row>
    <row r="12" spans="1:8">
      <c r="A12" s="131" t="s">
        <v>4696</v>
      </c>
      <c r="F12" s="132" t="s">
        <v>1096</v>
      </c>
      <c r="G12" s="111" t="s">
        <v>6586</v>
      </c>
    </row>
    <row r="13" spans="1:8">
      <c r="G13" s="111" t="s">
        <v>6182</v>
      </c>
    </row>
    <row r="14" spans="1:8">
      <c r="G14" s="111"/>
    </row>
    <row r="16" spans="1:8" s="95" customFormat="1" ht="20.100000000000001" customHeight="1">
      <c r="A16" s="90" t="s">
        <v>1113</v>
      </c>
      <c r="B16" s="90" t="s">
        <v>1114</v>
      </c>
      <c r="C16" s="90"/>
      <c r="D16" s="92" t="s">
        <v>14</v>
      </c>
      <c r="E16" s="92"/>
      <c r="F16" s="90"/>
      <c r="G16" s="93"/>
      <c r="H16" s="94" t="s">
        <v>13</v>
      </c>
    </row>
    <row r="18" spans="1:8">
      <c r="D18" s="95" t="s">
        <v>3650</v>
      </c>
      <c r="E18" s="95"/>
    </row>
    <row r="19" spans="1:8">
      <c r="A19" s="158"/>
      <c r="B19" s="141"/>
      <c r="C19" s="141"/>
      <c r="D19" s="95"/>
      <c r="E19" s="95"/>
    </row>
    <row r="20" spans="1:8">
      <c r="A20" s="492" t="s">
        <v>6587</v>
      </c>
      <c r="B20" s="158"/>
      <c r="C20" s="158"/>
      <c r="D20" s="111" t="s">
        <v>6588</v>
      </c>
      <c r="E20" s="111"/>
      <c r="H20" s="131">
        <v>120</v>
      </c>
    </row>
    <row r="21" spans="1:8">
      <c r="D21" s="483" t="s">
        <v>6589</v>
      </c>
      <c r="E21" s="111"/>
      <c r="H21" s="131">
        <v>120</v>
      </c>
    </row>
    <row r="22" spans="1:8">
      <c r="D22" s="483" t="s">
        <v>6590</v>
      </c>
      <c r="E22" s="111"/>
      <c r="H22" s="488">
        <v>120</v>
      </c>
    </row>
    <row r="23" spans="1:8">
      <c r="A23" s="158"/>
      <c r="B23" s="141"/>
      <c r="C23" s="141"/>
      <c r="D23" s="483" t="s">
        <v>6591</v>
      </c>
      <c r="E23" s="111"/>
      <c r="H23" s="488">
        <v>120</v>
      </c>
    </row>
    <row r="24" spans="1:8">
      <c r="A24" s="158"/>
      <c r="B24" s="158"/>
      <c r="C24" s="158"/>
      <c r="D24" s="483" t="s">
        <v>6592</v>
      </c>
      <c r="E24" s="111"/>
      <c r="H24" s="488">
        <v>120</v>
      </c>
    </row>
    <row r="25" spans="1:8">
      <c r="A25" s="158"/>
      <c r="B25" s="158"/>
      <c r="C25" s="158"/>
      <c r="D25" s="111"/>
      <c r="E25" s="111"/>
    </row>
    <row r="26" spans="1:8">
      <c r="D26" s="111"/>
      <c r="E26" s="111"/>
    </row>
    <row r="27" spans="1:8">
      <c r="A27" s="158"/>
      <c r="B27" s="141"/>
      <c r="C27" s="141"/>
      <c r="D27" s="95"/>
      <c r="E27" s="95"/>
    </row>
    <row r="28" spans="1:8">
      <c r="A28" s="158"/>
      <c r="B28" s="158"/>
      <c r="C28" s="158"/>
    </row>
    <row r="29" spans="1:8">
      <c r="A29" s="158"/>
      <c r="B29" s="158"/>
      <c r="C29" s="158"/>
    </row>
    <row r="30" spans="1:8">
      <c r="A30" s="158"/>
      <c r="B30" s="158"/>
      <c r="C30" s="158"/>
      <c r="D30" s="95"/>
      <c r="E30" s="95"/>
    </row>
    <row r="31" spans="1:8">
      <c r="A31" s="158"/>
      <c r="B31" s="158"/>
      <c r="C31" s="158"/>
      <c r="D31" s="95"/>
      <c r="E31" s="95"/>
    </row>
    <row r="33" spans="1:8">
      <c r="A33" s="158"/>
      <c r="B33" s="158"/>
      <c r="C33" s="158"/>
    </row>
    <row r="34" spans="1:8">
      <c r="B34" s="140"/>
      <c r="C34" s="140"/>
    </row>
    <row r="36" spans="1:8" ht="13.5" thickBot="1">
      <c r="H36" s="164">
        <f>SUM(H18:H35)</f>
        <v>600</v>
      </c>
    </row>
    <row r="37" spans="1:8" ht="13.5" thickTop="1"/>
    <row r="38" spans="1:8" ht="20.100000000000001" customHeight="1">
      <c r="A38" s="13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Six Hundred and NO/100 -----------</v>
      </c>
      <c r="C38" s="202"/>
      <c r="D38" s="139"/>
      <c r="E38" s="139"/>
      <c r="F38" s="139"/>
      <c r="G38" s="139"/>
      <c r="H38" s="262"/>
    </row>
    <row r="39" spans="1:8">
      <c r="A39" s="140"/>
    </row>
    <row r="40" spans="1:8" ht="25.5">
      <c r="A40" s="143" t="s">
        <v>10</v>
      </c>
      <c r="F40" s="265" t="s">
        <v>2894</v>
      </c>
      <c r="G40" s="266"/>
      <c r="H40" s="267"/>
    </row>
    <row r="41" spans="1:8">
      <c r="A41" s="143"/>
    </row>
    <row r="42" spans="1:8">
      <c r="A42" s="147"/>
    </row>
    <row r="43" spans="1:8">
      <c r="A43" s="143"/>
      <c r="D43" s="141"/>
      <c r="E43" s="141"/>
    </row>
    <row r="44" spans="1:8">
      <c r="A44" s="248"/>
      <c r="B44" s="142"/>
      <c r="C44" s="445"/>
    </row>
    <row r="45" spans="1:8">
      <c r="A45" s="143"/>
    </row>
    <row r="46" spans="1:8">
      <c r="A46" s="143" t="s">
        <v>8</v>
      </c>
      <c r="D46" s="143" t="s">
        <v>8</v>
      </c>
      <c r="F46" s="143" t="s">
        <v>7</v>
      </c>
      <c r="H46" s="144"/>
    </row>
    <row r="47" spans="1:8">
      <c r="A47" s="143"/>
      <c r="D47" s="143"/>
    </row>
    <row r="48" spans="1:8">
      <c r="A48" s="143"/>
      <c r="D48" s="143"/>
    </row>
    <row r="49" spans="1:8">
      <c r="A49" s="143"/>
      <c r="D49" s="143"/>
    </row>
    <row r="50" spans="1:8">
      <c r="A50" s="248"/>
      <c r="B50" s="142"/>
      <c r="C50" s="445"/>
      <c r="D50" s="248"/>
      <c r="F50" s="142"/>
      <c r="G50" s="142"/>
      <c r="H50" s="142"/>
    </row>
    <row r="51" spans="1:8" s="147" customFormat="1" ht="17.100000000000001" customHeight="1">
      <c r="A51" s="145" t="s">
        <v>2948</v>
      </c>
      <c r="B51" s="146"/>
      <c r="C51" s="146"/>
      <c r="D51" s="145" t="s">
        <v>103</v>
      </c>
      <c r="F51" s="147" t="s">
        <v>3</v>
      </c>
    </row>
    <row r="52" spans="1:8">
      <c r="A52" s="143"/>
      <c r="F52" s="131" t="s">
        <v>2</v>
      </c>
    </row>
    <row r="53" spans="1:8">
      <c r="A53" s="145"/>
    </row>
    <row r="54" spans="1:8">
      <c r="F54" s="110" t="s">
        <v>1</v>
      </c>
    </row>
    <row r="55" spans="1:8">
      <c r="F55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0B984-A291-4C3D-8D22-3B8C9593E72D}">
  <sheetPr codeName="Sheet518"/>
  <dimension ref="A1:N56"/>
  <sheetViews>
    <sheetView view="pageBreakPreview" topLeftCell="A4" zoomScaleNormal="100" zoomScaleSheetLayoutView="10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1.140625" style="1" customWidth="1"/>
    <col min="4" max="4" width="23" style="1" customWidth="1"/>
    <col min="5" max="5" width="1.28515625" style="1" customWidth="1"/>
    <col min="6" max="6" width="15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14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4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4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4">
      <c r="A4" s="530" t="s">
        <v>1481</v>
      </c>
      <c r="B4" s="530"/>
      <c r="C4" s="530"/>
      <c r="D4" s="530"/>
      <c r="E4" s="530"/>
      <c r="F4" s="530"/>
      <c r="G4" s="530"/>
      <c r="H4" s="530"/>
    </row>
    <row r="7" spans="1:14">
      <c r="J7" s="1" t="s">
        <v>5229</v>
      </c>
      <c r="K7" s="1">
        <v>43405</v>
      </c>
      <c r="M7" s="1" t="s">
        <v>1270</v>
      </c>
    </row>
    <row r="8" spans="1:14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4">
      <c r="A9" s="111"/>
      <c r="B9" s="111"/>
      <c r="C9" s="111"/>
      <c r="D9" s="111"/>
      <c r="E9" s="111"/>
      <c r="F9" s="112" t="s">
        <v>1127</v>
      </c>
      <c r="G9" s="111" t="s">
        <v>5229</v>
      </c>
      <c r="H9" s="111"/>
    </row>
    <row r="10" spans="1:14">
      <c r="A10" s="111" t="s">
        <v>5231</v>
      </c>
      <c r="B10" s="111"/>
      <c r="C10" s="111"/>
      <c r="D10" s="111"/>
      <c r="E10" s="111"/>
      <c r="F10" s="112" t="s">
        <v>1162</v>
      </c>
      <c r="G10" s="112" t="s">
        <v>5230</v>
      </c>
      <c r="H10" s="111"/>
      <c r="K10" s="1" t="s">
        <v>4800</v>
      </c>
      <c r="L10" s="1">
        <v>43161</v>
      </c>
      <c r="N10" s="1" t="s">
        <v>4801</v>
      </c>
    </row>
    <row r="11" spans="1:14">
      <c r="A11" s="111" t="s">
        <v>5232</v>
      </c>
      <c r="B11" s="111"/>
      <c r="C11" s="111"/>
      <c r="D11" s="111"/>
      <c r="E11" s="111"/>
      <c r="F11" s="112" t="s">
        <v>1163</v>
      </c>
      <c r="G11" s="112" t="s">
        <v>1094</v>
      </c>
      <c r="H11" s="111"/>
    </row>
    <row r="12" spans="1:14">
      <c r="A12" s="111" t="s">
        <v>5233</v>
      </c>
      <c r="B12" s="111"/>
      <c r="C12" s="111"/>
      <c r="D12" s="111"/>
      <c r="E12" s="111"/>
      <c r="F12" s="112" t="s">
        <v>1096</v>
      </c>
      <c r="G12" s="112" t="s">
        <v>1270</v>
      </c>
      <c r="H12" s="111"/>
    </row>
    <row r="13" spans="1:14">
      <c r="A13" s="111"/>
      <c r="B13" s="111"/>
      <c r="C13" s="111"/>
      <c r="D13" s="111"/>
      <c r="E13" s="111"/>
      <c r="F13" s="111"/>
      <c r="G13" s="111"/>
      <c r="H13" s="111"/>
      <c r="K13" s="2" t="s">
        <v>4927</v>
      </c>
      <c r="L13" s="111"/>
      <c r="M13" s="111"/>
      <c r="N13" s="111"/>
    </row>
    <row r="14" spans="1:14">
      <c r="A14" s="111"/>
      <c r="B14" s="111"/>
      <c r="C14" s="111"/>
      <c r="D14" s="111"/>
      <c r="E14" s="111"/>
      <c r="F14" s="111"/>
      <c r="G14" s="111"/>
      <c r="H14" s="111"/>
      <c r="K14" s="2"/>
      <c r="L14" s="111"/>
      <c r="M14" s="111"/>
      <c r="N14" s="111"/>
    </row>
    <row r="15" spans="1:14">
      <c r="A15" s="111"/>
      <c r="B15" s="111"/>
      <c r="C15" s="111"/>
      <c r="D15" s="111"/>
      <c r="E15" s="111"/>
      <c r="F15" s="111"/>
      <c r="G15" s="111"/>
      <c r="H15" s="111"/>
      <c r="K15" s="111" t="s">
        <v>4667</v>
      </c>
      <c r="M15" s="111"/>
      <c r="N15" s="111">
        <f>1530</f>
        <v>1530</v>
      </c>
    </row>
    <row r="16" spans="1:14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K16" s="111" t="s">
        <v>1583</v>
      </c>
      <c r="L16" s="111"/>
      <c r="M16" s="111"/>
      <c r="N16" s="111">
        <v>500</v>
      </c>
    </row>
    <row r="17" spans="1:14">
      <c r="A17" s="111"/>
      <c r="B17" s="111"/>
      <c r="C17" s="111"/>
      <c r="D17" s="111"/>
      <c r="E17" s="111"/>
      <c r="F17" s="111"/>
      <c r="G17" s="111"/>
      <c r="H17" s="111"/>
      <c r="K17" s="111" t="s">
        <v>4518</v>
      </c>
      <c r="L17" s="111"/>
      <c r="M17" s="111"/>
      <c r="N17" s="111">
        <v>150</v>
      </c>
    </row>
    <row r="18" spans="1:14">
      <c r="D18" s="2" t="s">
        <v>5234</v>
      </c>
      <c r="E18" s="2"/>
      <c r="F18" s="111"/>
      <c r="G18" s="111"/>
      <c r="H18" s="111"/>
      <c r="I18" s="242"/>
      <c r="K18" s="111" t="s">
        <v>4928</v>
      </c>
      <c r="L18" s="111"/>
      <c r="M18" s="111"/>
      <c r="N18" s="111">
        <v>100</v>
      </c>
    </row>
    <row r="19" spans="1:14">
      <c r="A19" s="116"/>
      <c r="B19" s="241"/>
      <c r="C19" s="241"/>
      <c r="D19" s="2"/>
      <c r="E19" s="2"/>
      <c r="F19" s="111"/>
      <c r="G19" s="111"/>
      <c r="H19" s="111"/>
      <c r="I19" s="111"/>
      <c r="K19" s="111"/>
      <c r="L19" s="111"/>
      <c r="M19" s="111"/>
      <c r="N19" s="111"/>
    </row>
    <row r="20" spans="1:14">
      <c r="A20" s="116" t="s">
        <v>5217</v>
      </c>
      <c r="B20" s="241" t="s">
        <v>5235</v>
      </c>
      <c r="C20" s="241"/>
      <c r="D20" s="111" t="s">
        <v>5236</v>
      </c>
      <c r="E20" s="111"/>
      <c r="F20" s="111"/>
      <c r="G20" s="111"/>
      <c r="H20" s="111">
        <f>949494*0.037591</f>
        <v>35692.428954000003</v>
      </c>
      <c r="I20" s="111"/>
    </row>
    <row r="21" spans="1:14">
      <c r="A21" s="111"/>
      <c r="D21" s="111" t="s">
        <v>5237</v>
      </c>
      <c r="E21" s="111"/>
      <c r="G21" s="111"/>
      <c r="H21" s="111"/>
      <c r="I21" s="111"/>
    </row>
    <row r="22" spans="1:14">
      <c r="A22" s="120"/>
      <c r="B22" s="313"/>
      <c r="C22" s="313"/>
      <c r="D22" s="111" t="s">
        <v>5238</v>
      </c>
      <c r="E22" s="111"/>
      <c r="F22" s="111"/>
      <c r="G22" s="111"/>
      <c r="H22" s="111"/>
      <c r="I22" s="111"/>
    </row>
    <row r="23" spans="1:14">
      <c r="B23" s="241"/>
      <c r="C23" s="241"/>
      <c r="D23" s="111"/>
      <c r="E23" s="111"/>
      <c r="F23" s="111"/>
      <c r="G23" s="111"/>
      <c r="H23" s="111"/>
      <c r="I23" s="111"/>
    </row>
    <row r="24" spans="1:14">
      <c r="A24" s="111"/>
      <c r="B24" s="111"/>
      <c r="C24" s="111"/>
      <c r="D24" s="111" t="s">
        <v>1697</v>
      </c>
      <c r="E24" s="111"/>
      <c r="F24" s="111"/>
      <c r="G24" s="111"/>
      <c r="H24" s="111">
        <v>30</v>
      </c>
      <c r="I24" s="111"/>
    </row>
    <row r="25" spans="1:14">
      <c r="A25" s="116"/>
      <c r="B25" s="241"/>
      <c r="C25" s="241"/>
      <c r="D25" s="111"/>
      <c r="E25" s="111"/>
      <c r="F25" s="111"/>
      <c r="G25" s="111"/>
      <c r="H25" s="111"/>
    </row>
    <row r="26" spans="1:14">
      <c r="A26" s="111"/>
      <c r="B26" s="241"/>
      <c r="C26" s="241"/>
      <c r="D26" s="111"/>
      <c r="E26" s="111"/>
      <c r="F26" s="111"/>
      <c r="G26" s="111"/>
      <c r="H26" s="111"/>
    </row>
    <row r="27" spans="1:14">
      <c r="A27" s="120"/>
      <c r="B27" s="314"/>
      <c r="C27" s="314"/>
      <c r="D27" s="2"/>
      <c r="E27" s="2"/>
      <c r="F27" s="111"/>
      <c r="G27" s="111"/>
      <c r="H27" s="111"/>
    </row>
    <row r="28" spans="1:14">
      <c r="D28" s="111"/>
      <c r="E28" s="111"/>
      <c r="G28" s="111"/>
      <c r="H28" s="111"/>
    </row>
    <row r="29" spans="1:14">
      <c r="A29" s="120"/>
      <c r="B29" s="313"/>
      <c r="C29" s="313"/>
      <c r="D29" s="111"/>
      <c r="E29" s="111"/>
      <c r="F29" s="111"/>
      <c r="G29" s="111"/>
      <c r="H29" s="111"/>
    </row>
    <row r="30" spans="1:14">
      <c r="A30" s="120"/>
      <c r="B30" s="241"/>
      <c r="C30" s="241"/>
      <c r="D30" s="111"/>
      <c r="E30" s="111"/>
      <c r="F30" s="111"/>
      <c r="G30" s="111"/>
      <c r="H30" s="111"/>
    </row>
    <row r="31" spans="1:14">
      <c r="A31" s="123"/>
      <c r="B31" s="111"/>
      <c r="C31" s="111"/>
      <c r="D31" s="111"/>
      <c r="E31" s="111"/>
      <c r="F31" s="111"/>
      <c r="G31" s="111"/>
      <c r="H31" s="111"/>
    </row>
    <row r="32" spans="1:14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23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35722.428954000003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Thirty-Five Thousand Seven Hundred Twenty-Two and 43/100 -----------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84975-429C-4EA9-AFBA-6B27A4E30E7D}">
  <dimension ref="A1:R56"/>
  <sheetViews>
    <sheetView view="pageBreakPreview" topLeftCell="A4" zoomScaleNormal="100" zoomScaleSheetLayoutView="100" workbookViewId="0">
      <selection activeCell="G9" sqref="G9:G13"/>
    </sheetView>
  </sheetViews>
  <sheetFormatPr defaultRowHeight="12.75"/>
  <cols>
    <col min="1" max="1" width="15.5703125" style="483" customWidth="1"/>
    <col min="2" max="2" width="13.28515625" style="483" customWidth="1"/>
    <col min="3" max="3" width="0.5703125" style="483" customWidth="1"/>
    <col min="4" max="4" width="25.42578125" style="483" customWidth="1"/>
    <col min="5" max="5" width="1" style="483" customWidth="1"/>
    <col min="6" max="6" width="17.42578125" style="483" customWidth="1"/>
    <col min="7" max="7" width="9.28515625" style="483" customWidth="1"/>
    <col min="8" max="8" width="13.28515625" style="483" customWidth="1"/>
    <col min="9" max="16384" width="9.140625" style="483"/>
  </cols>
  <sheetData>
    <row r="1" spans="1:13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3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3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3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3">
      <c r="A8" s="483" t="s">
        <v>24</v>
      </c>
      <c r="F8" s="22" t="s">
        <v>23</v>
      </c>
    </row>
    <row r="9" spans="1:13">
      <c r="F9" s="484" t="s">
        <v>1716</v>
      </c>
      <c r="G9" s="489" t="s">
        <v>6907</v>
      </c>
    </row>
    <row r="10" spans="1:13">
      <c r="A10" s="483" t="s">
        <v>6909</v>
      </c>
      <c r="F10" s="484" t="s">
        <v>1162</v>
      </c>
      <c r="G10" s="489" t="s">
        <v>6899</v>
      </c>
    </row>
    <row r="11" spans="1:13">
      <c r="A11" s="483" t="s">
        <v>6910</v>
      </c>
      <c r="F11" s="484" t="s">
        <v>1163</v>
      </c>
      <c r="G11" s="489" t="s">
        <v>1094</v>
      </c>
      <c r="K11" s="483" t="s">
        <v>6900</v>
      </c>
      <c r="L11" s="483">
        <v>43927</v>
      </c>
      <c r="M11" s="483" t="s">
        <v>6901</v>
      </c>
    </row>
    <row r="12" spans="1:13">
      <c r="A12" s="483" t="s">
        <v>6914</v>
      </c>
      <c r="F12" s="484" t="s">
        <v>1096</v>
      </c>
      <c r="G12" s="486" t="s">
        <v>6908</v>
      </c>
    </row>
    <row r="13" spans="1:13">
      <c r="A13" s="483" t="s">
        <v>567</v>
      </c>
      <c r="G13" s="488" t="s">
        <v>5914</v>
      </c>
    </row>
    <row r="14" spans="1:13">
      <c r="A14" s="483" t="s">
        <v>6915</v>
      </c>
    </row>
    <row r="16" spans="1:13" s="15" customFormat="1" ht="20.100000000000001" customHeight="1">
      <c r="A16" s="522" t="s">
        <v>1097</v>
      </c>
      <c r="B16" s="521" t="s">
        <v>1114</v>
      </c>
      <c r="C16" s="521"/>
      <c r="D16" s="19" t="s">
        <v>14</v>
      </c>
      <c r="E16" s="19"/>
      <c r="F16" s="18"/>
      <c r="G16" s="17"/>
      <c r="H16" s="16" t="s">
        <v>13</v>
      </c>
    </row>
    <row r="18" spans="1:18" ht="12.75" customHeight="1">
      <c r="A18" s="485"/>
      <c r="D18" s="482" t="s">
        <v>6911</v>
      </c>
      <c r="E18" s="482"/>
    </row>
    <row r="19" spans="1:18">
      <c r="A19" s="485"/>
      <c r="B19" s="485"/>
      <c r="C19" s="485"/>
      <c r="J19" s="483" t="s">
        <v>4667</v>
      </c>
      <c r="M19" s="483">
        <v>1020</v>
      </c>
      <c r="O19" s="483" t="s">
        <v>2719</v>
      </c>
      <c r="R19" s="483">
        <v>1575</v>
      </c>
    </row>
    <row r="20" spans="1:18">
      <c r="A20" s="485" t="s">
        <v>6902</v>
      </c>
      <c r="B20" s="485" t="s">
        <v>6912</v>
      </c>
      <c r="C20" s="485"/>
      <c r="D20" s="483" t="s">
        <v>6913</v>
      </c>
      <c r="H20" s="483">
        <v>150</v>
      </c>
      <c r="J20" s="483" t="s">
        <v>6903</v>
      </c>
      <c r="M20" s="483">
        <v>100</v>
      </c>
      <c r="O20" s="483" t="s">
        <v>1583</v>
      </c>
      <c r="R20" s="483">
        <v>400</v>
      </c>
    </row>
    <row r="21" spans="1:18">
      <c r="J21" s="483" t="s">
        <v>1583</v>
      </c>
      <c r="M21" s="483">
        <v>500</v>
      </c>
      <c r="O21" s="483" t="s">
        <v>4518</v>
      </c>
      <c r="R21" s="483">
        <v>100</v>
      </c>
    </row>
    <row r="22" spans="1:18">
      <c r="J22" s="483" t="s">
        <v>4518</v>
      </c>
      <c r="M22" s="483">
        <v>100</v>
      </c>
      <c r="O22" s="483" t="s">
        <v>6904</v>
      </c>
      <c r="R22" s="483">
        <v>220</v>
      </c>
    </row>
    <row r="23" spans="1:18">
      <c r="A23" s="486"/>
      <c r="J23" s="483" t="s">
        <v>6905</v>
      </c>
      <c r="M23" s="483">
        <v>300</v>
      </c>
    </row>
    <row r="24" spans="1:18">
      <c r="M24" s="483">
        <f>SUM(M19:M23)</f>
        <v>2020</v>
      </c>
    </row>
    <row r="25" spans="1:18">
      <c r="A25" s="485"/>
      <c r="B25" s="121"/>
      <c r="C25" s="121"/>
    </row>
    <row r="26" spans="1:18">
      <c r="A26" s="485"/>
      <c r="B26" s="485"/>
      <c r="C26" s="485"/>
    </row>
    <row r="27" spans="1:18">
      <c r="J27" s="483" t="s">
        <v>6906</v>
      </c>
      <c r="M27" s="483">
        <v>222</v>
      </c>
    </row>
    <row r="28" spans="1:18">
      <c r="B28" s="486"/>
      <c r="C28" s="486"/>
    </row>
    <row r="29" spans="1:18">
      <c r="B29" s="486"/>
      <c r="C29" s="486"/>
    </row>
    <row r="30" spans="1:18">
      <c r="B30" s="486"/>
      <c r="C30" s="486"/>
    </row>
    <row r="31" spans="1:18">
      <c r="B31" s="486"/>
      <c r="C31" s="486"/>
    </row>
    <row r="32" spans="1:18">
      <c r="B32" s="486"/>
      <c r="C32" s="486"/>
    </row>
    <row r="33" spans="1:8">
      <c r="B33" s="486"/>
      <c r="C33" s="486"/>
    </row>
    <row r="34" spans="1:8">
      <c r="B34" s="486"/>
      <c r="C34" s="486"/>
    </row>
    <row r="35" spans="1:8">
      <c r="B35" s="486"/>
      <c r="C35" s="486"/>
      <c r="D35" s="167"/>
      <c r="E35" s="167"/>
      <c r="F35" s="167"/>
      <c r="G35" s="167"/>
      <c r="H35" s="167"/>
    </row>
    <row r="37" spans="1:8" ht="13.5" thickBot="1">
      <c r="H37" s="127">
        <f>SUM(H19:H36)</f>
        <v>150</v>
      </c>
    </row>
    <row r="38" spans="1:8" ht="13.5" thickTop="1"/>
    <row r="39" spans="1:8" ht="20.100000000000001" customHeight="1">
      <c r="A39" s="118" t="s">
        <v>1717</v>
      </c>
      <c r="B39" s="202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One Hundred Fifty and NO/100 -----------</v>
      </c>
      <c r="C39" s="202"/>
      <c r="D39" s="119"/>
      <c r="E39" s="119"/>
      <c r="F39" s="119"/>
      <c r="G39" s="119"/>
      <c r="H39" s="119"/>
    </row>
    <row r="40" spans="1:8">
      <c r="A40" s="486"/>
    </row>
    <row r="41" spans="1:8" ht="25.5">
      <c r="A41" s="487" t="s">
        <v>10</v>
      </c>
      <c r="F41" s="265" t="s">
        <v>2894</v>
      </c>
      <c r="G41" s="266"/>
      <c r="H41" s="267"/>
    </row>
    <row r="42" spans="1:8">
      <c r="A42" s="487"/>
    </row>
    <row r="43" spans="1:8">
      <c r="A43" s="487"/>
      <c r="F43" s="309"/>
      <c r="G43" s="309"/>
      <c r="H43" s="309"/>
    </row>
    <row r="44" spans="1:8">
      <c r="A44" s="487"/>
      <c r="D44" s="121"/>
      <c r="E44" s="121"/>
      <c r="F44" s="310"/>
      <c r="G44" s="311"/>
      <c r="H44" s="311"/>
    </row>
    <row r="45" spans="1:8">
      <c r="A45" s="122"/>
      <c r="B45" s="122"/>
    </row>
    <row r="46" spans="1:8">
      <c r="A46" s="487"/>
    </row>
    <row r="47" spans="1:8">
      <c r="A47" s="487" t="s">
        <v>8</v>
      </c>
      <c r="D47" s="487" t="s">
        <v>8</v>
      </c>
      <c r="F47" s="487" t="s">
        <v>7</v>
      </c>
      <c r="H47" s="124"/>
    </row>
    <row r="48" spans="1:8">
      <c r="A48" s="487"/>
      <c r="D48" s="487"/>
    </row>
    <row r="49" spans="1:8">
      <c r="A49" s="487"/>
      <c r="D49" s="487"/>
    </row>
    <row r="50" spans="1:8">
      <c r="A50" s="487"/>
      <c r="D50" s="487"/>
    </row>
    <row r="51" spans="1:8">
      <c r="A51" s="150"/>
      <c r="B51" s="122"/>
      <c r="D51" s="150"/>
      <c r="F51" s="122"/>
      <c r="G51" s="122"/>
      <c r="H51" s="122"/>
    </row>
    <row r="52" spans="1:8" s="126" customFormat="1" ht="17.100000000000001" customHeight="1">
      <c r="A52" s="487" t="s">
        <v>2948</v>
      </c>
      <c r="B52" s="125"/>
      <c r="C52" s="125"/>
      <c r="D52" s="487" t="s">
        <v>103</v>
      </c>
      <c r="F52" s="126" t="s">
        <v>3</v>
      </c>
    </row>
    <row r="53" spans="1:8">
      <c r="A53" s="487"/>
      <c r="F53" s="483" t="s">
        <v>2</v>
      </c>
    </row>
    <row r="54" spans="1:8">
      <c r="A54" s="487"/>
    </row>
    <row r="55" spans="1:8">
      <c r="F55" s="482" t="s">
        <v>1</v>
      </c>
    </row>
    <row r="56" spans="1:8">
      <c r="F56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57371-63AC-46E0-85AB-3E4F77AF0404}">
  <sheetPr>
    <pageSetUpPr fitToPage="1"/>
  </sheetPr>
  <dimension ref="A1:I58"/>
  <sheetViews>
    <sheetView topLeftCell="A13" workbookViewId="0">
      <selection activeCell="H34" sqref="H34"/>
    </sheetView>
  </sheetViews>
  <sheetFormatPr defaultRowHeight="12.75"/>
  <cols>
    <col min="1" max="1" width="15.85546875" style="1" customWidth="1"/>
    <col min="2" max="2" width="15.28515625" style="1" customWidth="1"/>
    <col min="3" max="3" width="0.85546875" style="1" customWidth="1"/>
    <col min="4" max="4" width="21" style="1" customWidth="1"/>
    <col min="5" max="5" width="0.85546875" style="1" customWidth="1"/>
    <col min="6" max="6" width="12.140625" style="1" customWidth="1"/>
    <col min="7" max="7" width="10.140625" style="1" customWidth="1"/>
    <col min="8" max="8" width="13.7109375" style="1" customWidth="1"/>
    <col min="9" max="16384" width="9.140625" style="1"/>
  </cols>
  <sheetData>
    <row r="1" spans="1:9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9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9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9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9">
      <c r="A8" s="483" t="s">
        <v>24</v>
      </c>
      <c r="B8" s="483"/>
      <c r="C8" s="483"/>
      <c r="D8" s="483"/>
      <c r="E8" s="483"/>
      <c r="F8" s="22" t="s">
        <v>23</v>
      </c>
      <c r="G8" s="483"/>
      <c r="H8" s="483"/>
      <c r="I8" s="483"/>
    </row>
    <row r="9" spans="1:9">
      <c r="A9" s="483"/>
      <c r="B9" s="483"/>
      <c r="C9" s="483"/>
      <c r="D9" s="483"/>
      <c r="E9" s="483"/>
      <c r="F9" s="484" t="s">
        <v>1221</v>
      </c>
      <c r="G9" s="483" t="s">
        <v>7170</v>
      </c>
      <c r="H9" s="483"/>
      <c r="I9" s="483"/>
    </row>
    <row r="10" spans="1:9">
      <c r="A10" s="483" t="s">
        <v>7171</v>
      </c>
      <c r="B10" s="483"/>
      <c r="C10" s="483"/>
      <c r="D10" s="483"/>
      <c r="E10" s="483"/>
      <c r="F10" s="484" t="s">
        <v>1124</v>
      </c>
      <c r="G10" s="484" t="s">
        <v>7105</v>
      </c>
      <c r="H10" s="483"/>
      <c r="I10" s="483"/>
    </row>
    <row r="11" spans="1:9">
      <c r="A11" s="483" t="s">
        <v>7172</v>
      </c>
      <c r="B11" s="483"/>
      <c r="C11" s="483"/>
      <c r="D11" s="483"/>
      <c r="E11" s="483"/>
      <c r="F11" s="484" t="s">
        <v>1125</v>
      </c>
      <c r="G11" s="484" t="s">
        <v>1094</v>
      </c>
      <c r="H11" s="483"/>
      <c r="I11" s="483"/>
    </row>
    <row r="12" spans="1:9">
      <c r="A12" s="483" t="s">
        <v>7173</v>
      </c>
      <c r="B12" s="483"/>
      <c r="C12" s="483"/>
      <c r="D12" s="483"/>
      <c r="E12" s="483"/>
      <c r="F12" s="484" t="s">
        <v>1126</v>
      </c>
      <c r="G12" s="484" t="s">
        <v>1270</v>
      </c>
      <c r="H12" s="483"/>
      <c r="I12" s="483"/>
    </row>
    <row r="13" spans="1:9">
      <c r="A13" s="483" t="s">
        <v>7174</v>
      </c>
      <c r="B13" s="483"/>
      <c r="C13" s="483"/>
      <c r="D13" s="483"/>
      <c r="E13" s="483"/>
      <c r="F13" s="483"/>
      <c r="G13" s="483"/>
      <c r="H13" s="483"/>
      <c r="I13" s="483"/>
    </row>
    <row r="14" spans="1:9">
      <c r="A14" s="483"/>
      <c r="B14" s="483"/>
      <c r="C14" s="483"/>
      <c r="D14" s="483"/>
      <c r="E14" s="483"/>
      <c r="F14" s="483"/>
      <c r="G14" s="483"/>
      <c r="H14" s="483"/>
      <c r="I14" s="483"/>
    </row>
    <row r="15" spans="1:9">
      <c r="A15" s="483"/>
      <c r="B15" s="483"/>
      <c r="C15" s="483"/>
      <c r="D15" s="483"/>
      <c r="E15" s="483"/>
      <c r="F15" s="483"/>
      <c r="G15" s="483"/>
      <c r="H15" s="483"/>
      <c r="I15" s="483"/>
    </row>
    <row r="16" spans="1:9" s="15" customFormat="1" ht="20.100000000000001" customHeight="1">
      <c r="A16" s="18" t="s">
        <v>1193</v>
      </c>
      <c r="B16" s="527" t="s">
        <v>1114</v>
      </c>
      <c r="C16" s="18"/>
      <c r="D16" s="19" t="s">
        <v>14</v>
      </c>
      <c r="E16" s="19"/>
      <c r="F16" s="18"/>
      <c r="G16" s="17"/>
      <c r="H16" s="16" t="s">
        <v>13</v>
      </c>
    </row>
    <row r="17" spans="1:9">
      <c r="A17" s="483"/>
      <c r="B17" s="483"/>
      <c r="C17" s="483"/>
      <c r="D17" s="483"/>
      <c r="E17" s="483"/>
      <c r="F17" s="483"/>
      <c r="G17" s="483"/>
      <c r="H17" s="483"/>
      <c r="I17" s="483"/>
    </row>
    <row r="18" spans="1:9">
      <c r="D18" s="482" t="s">
        <v>7175</v>
      </c>
      <c r="E18" s="482"/>
      <c r="F18" s="483"/>
      <c r="G18" s="483"/>
      <c r="H18" s="483"/>
      <c r="I18" s="483"/>
    </row>
    <row r="19" spans="1:9">
      <c r="D19" s="482" t="s">
        <v>7176</v>
      </c>
      <c r="I19" s="483"/>
    </row>
    <row r="20" spans="1:9">
      <c r="A20" s="171"/>
      <c r="B20" s="121"/>
      <c r="C20" s="121"/>
      <c r="D20" s="483"/>
      <c r="E20" s="483"/>
      <c r="F20" s="483"/>
      <c r="G20" s="483"/>
      <c r="H20" s="483"/>
      <c r="I20" s="483"/>
    </row>
    <row r="21" spans="1:9">
      <c r="A21" s="171" t="s">
        <v>7097</v>
      </c>
      <c r="B21" s="485" t="s">
        <v>7177</v>
      </c>
      <c r="C21" s="121"/>
      <c r="D21" s="483" t="s">
        <v>7178</v>
      </c>
      <c r="E21" s="483"/>
      <c r="F21" s="483"/>
      <c r="G21" s="483"/>
      <c r="H21" s="483">
        <f>170000/1.8797628</f>
        <v>90436.942363153474</v>
      </c>
      <c r="I21" s="483"/>
    </row>
    <row r="22" spans="1:9">
      <c r="A22" s="171"/>
      <c r="B22" s="121"/>
      <c r="C22" s="121"/>
      <c r="D22" s="483" t="s">
        <v>7179</v>
      </c>
      <c r="E22" s="483"/>
      <c r="F22" s="483"/>
      <c r="G22" s="483"/>
      <c r="H22" s="483"/>
      <c r="I22" s="483"/>
    </row>
    <row r="23" spans="1:9">
      <c r="A23" s="125"/>
      <c r="B23" s="121"/>
      <c r="C23" s="121"/>
      <c r="D23" s="483" t="s">
        <v>7180</v>
      </c>
      <c r="E23" s="483"/>
      <c r="H23" s="483"/>
      <c r="I23" s="483"/>
    </row>
    <row r="24" spans="1:9">
      <c r="A24" s="255"/>
      <c r="B24" s="121"/>
      <c r="C24" s="121"/>
      <c r="D24" s="483"/>
      <c r="H24" s="483"/>
      <c r="I24" s="483"/>
    </row>
    <row r="25" spans="1:9">
      <c r="A25" s="171"/>
      <c r="B25" s="121"/>
      <c r="C25" s="121"/>
      <c r="D25" s="483" t="s">
        <v>1697</v>
      </c>
      <c r="E25" s="483"/>
      <c r="F25" s="483"/>
      <c r="H25" s="483">
        <v>30</v>
      </c>
      <c r="I25" s="483"/>
    </row>
    <row r="26" spans="1:9">
      <c r="A26" s="172"/>
      <c r="B26" s="121"/>
      <c r="C26" s="121"/>
      <c r="D26" s="483"/>
      <c r="E26" s="483"/>
      <c r="H26" s="483"/>
      <c r="I26" s="483"/>
    </row>
    <row r="27" spans="1:9">
      <c r="A27" s="171"/>
      <c r="B27" s="121"/>
      <c r="C27" s="121"/>
      <c r="D27" s="483"/>
      <c r="E27" s="483"/>
      <c r="H27" s="483"/>
      <c r="I27" s="483"/>
    </row>
    <row r="28" spans="1:9">
      <c r="A28" s="171"/>
      <c r="B28" s="121"/>
      <c r="C28" s="121"/>
      <c r="D28" s="483"/>
      <c r="E28" s="483"/>
      <c r="F28" s="483"/>
      <c r="G28" s="483"/>
      <c r="H28" s="483"/>
      <c r="I28" s="483"/>
    </row>
    <row r="29" spans="1:9">
      <c r="A29" s="172"/>
      <c r="B29" s="121"/>
      <c r="C29" s="121"/>
      <c r="D29" s="483"/>
      <c r="E29" s="483"/>
      <c r="F29" s="483"/>
      <c r="G29" s="483"/>
      <c r="H29" s="483"/>
      <c r="I29" s="483"/>
    </row>
    <row r="30" spans="1:9">
      <c r="A30" s="171"/>
      <c r="B30" s="121"/>
      <c r="C30" s="121"/>
      <c r="D30" s="483"/>
      <c r="E30" s="483"/>
      <c r="F30" s="483"/>
      <c r="G30" s="483"/>
      <c r="H30" s="483"/>
      <c r="I30" s="483"/>
    </row>
    <row r="31" spans="1:9">
      <c r="A31" s="125"/>
      <c r="B31" s="121"/>
      <c r="C31" s="121"/>
      <c r="D31" s="483"/>
      <c r="E31" s="483"/>
      <c r="H31" s="483"/>
      <c r="I31" s="483"/>
    </row>
    <row r="32" spans="1:9">
      <c r="A32" s="171"/>
      <c r="B32" s="121"/>
      <c r="C32" s="121"/>
      <c r="D32" s="483"/>
      <c r="E32" s="483"/>
      <c r="F32" s="483"/>
      <c r="G32" s="483"/>
      <c r="H32" s="483"/>
      <c r="I32" s="483"/>
    </row>
    <row r="33" spans="1:9">
      <c r="A33" s="172"/>
      <c r="B33" s="121"/>
      <c r="C33" s="121"/>
      <c r="D33" s="483"/>
      <c r="E33" s="483"/>
      <c r="F33" s="483"/>
      <c r="G33" s="483"/>
      <c r="I33" s="483"/>
    </row>
    <row r="34" spans="1:9" ht="13.5" thickBot="1">
      <c r="A34" s="125"/>
      <c r="B34" s="121"/>
      <c r="C34" s="121"/>
      <c r="D34" s="483"/>
      <c r="E34" s="483"/>
      <c r="H34" s="117">
        <f>SUM(H18:H33)</f>
        <v>90466.942363153474</v>
      </c>
      <c r="I34" s="483"/>
    </row>
    <row r="35" spans="1:9" ht="13.5" thickTop="1">
      <c r="A35" s="483"/>
      <c r="B35" s="483"/>
      <c r="C35" s="483"/>
      <c r="D35" s="483"/>
      <c r="E35" s="483"/>
      <c r="F35" s="483"/>
      <c r="G35" s="483"/>
      <c r="H35" s="483"/>
      <c r="I35" s="483"/>
    </row>
    <row r="36" spans="1:9" ht="20.100000000000001" customHeight="1">
      <c r="A36" s="118" t="s">
        <v>204</v>
      </c>
      <c r="B36" s="202" t="s">
        <v>7159</v>
      </c>
      <c r="C36" s="202"/>
      <c r="D36" s="119"/>
      <c r="E36" s="119"/>
      <c r="F36" s="119"/>
      <c r="G36" s="119"/>
      <c r="H36" s="119"/>
      <c r="I36" s="483"/>
    </row>
    <row r="37" spans="1:9">
      <c r="A37" s="486" t="s">
        <v>11</v>
      </c>
      <c r="B37" s="483"/>
      <c r="C37" s="483"/>
      <c r="D37" s="483"/>
      <c r="E37" s="483"/>
      <c r="F37" s="483"/>
      <c r="G37" s="483"/>
      <c r="H37" s="483"/>
      <c r="I37" s="483"/>
    </row>
    <row r="38" spans="1:9" ht="25.5">
      <c r="A38" s="483" t="s">
        <v>10</v>
      </c>
      <c r="B38" s="483"/>
      <c r="C38" s="483"/>
      <c r="D38" s="441"/>
      <c r="E38" s="483"/>
      <c r="F38" s="265" t="s">
        <v>2894</v>
      </c>
      <c r="G38" s="266"/>
      <c r="H38" s="267"/>
      <c r="I38" s="483"/>
    </row>
    <row r="39" spans="1:9">
      <c r="A39" s="483"/>
      <c r="B39" s="483"/>
      <c r="C39" s="483"/>
      <c r="D39" s="433"/>
      <c r="E39" s="483"/>
      <c r="F39" s="483"/>
      <c r="G39" s="483"/>
      <c r="H39" s="483"/>
      <c r="I39" s="483"/>
    </row>
    <row r="40" spans="1:9">
      <c r="A40" s="126"/>
      <c r="B40" s="483"/>
      <c r="C40" s="483"/>
      <c r="D40" s="433"/>
      <c r="E40" s="483"/>
    </row>
    <row r="41" spans="1:9">
      <c r="A41" s="483" t="s">
        <v>52</v>
      </c>
      <c r="B41" s="483"/>
      <c r="C41" s="483"/>
      <c r="D41" s="433"/>
      <c r="E41" s="121"/>
      <c r="F41" s="483"/>
      <c r="G41" s="483"/>
      <c r="H41" s="483"/>
      <c r="I41" s="483"/>
    </row>
    <row r="42" spans="1:9">
      <c r="A42" s="122"/>
      <c r="B42" s="122"/>
      <c r="C42" s="483"/>
      <c r="D42" s="433"/>
      <c r="E42" s="483"/>
      <c r="F42" s="483"/>
      <c r="G42" s="483"/>
      <c r="H42" s="483"/>
      <c r="I42" s="483"/>
    </row>
    <row r="43" spans="1:9">
      <c r="A43" s="483"/>
      <c r="B43" s="483"/>
      <c r="C43" s="483"/>
      <c r="D43" s="442"/>
      <c r="E43" s="483"/>
      <c r="F43" s="483"/>
      <c r="G43" s="483"/>
      <c r="H43" s="483"/>
      <c r="I43" s="483"/>
    </row>
    <row r="44" spans="1:9">
      <c r="A44" s="483"/>
      <c r="B44" s="483"/>
      <c r="C44" s="483"/>
      <c r="D44" s="151"/>
      <c r="E44" s="483"/>
      <c r="F44" s="483"/>
      <c r="G44" s="483"/>
      <c r="H44" s="483"/>
      <c r="I44" s="483"/>
    </row>
    <row r="45" spans="1:9">
      <c r="A45" s="487" t="s">
        <v>8</v>
      </c>
      <c r="B45" s="483"/>
      <c r="C45" s="483"/>
      <c r="D45" s="487" t="s">
        <v>8</v>
      </c>
      <c r="E45" s="483"/>
      <c r="F45" s="487" t="s">
        <v>7</v>
      </c>
      <c r="G45" s="483"/>
      <c r="H45" s="124"/>
      <c r="I45" s="483"/>
    </row>
    <row r="46" spans="1:9">
      <c r="A46" s="483"/>
      <c r="B46" s="483"/>
      <c r="C46" s="483"/>
      <c r="D46" s="483"/>
      <c r="E46" s="483"/>
      <c r="F46" s="483"/>
      <c r="G46" s="483"/>
      <c r="H46" s="483"/>
      <c r="I46" s="483"/>
    </row>
    <row r="47" spans="1:9">
      <c r="A47" s="483"/>
      <c r="B47" s="483"/>
      <c r="C47" s="483"/>
      <c r="D47" s="483"/>
      <c r="E47" s="483"/>
      <c r="F47" s="483"/>
      <c r="G47" s="483"/>
      <c r="H47" s="483"/>
      <c r="I47" s="483"/>
    </row>
    <row r="48" spans="1:9">
      <c r="A48" s="483"/>
      <c r="B48" s="483"/>
      <c r="C48" s="483"/>
      <c r="D48" s="483"/>
      <c r="E48" s="483"/>
      <c r="F48" s="483"/>
      <c r="G48" s="483"/>
      <c r="H48" s="483"/>
      <c r="I48" s="483"/>
    </row>
    <row r="49" spans="1:9">
      <c r="A49" s="122" t="s">
        <v>51</v>
      </c>
      <c r="B49" s="122"/>
      <c r="C49" s="483"/>
      <c r="D49" s="122" t="s">
        <v>51</v>
      </c>
      <c r="E49" s="483"/>
      <c r="F49" s="122"/>
      <c r="G49" s="122"/>
      <c r="H49" s="122"/>
      <c r="I49" s="483"/>
    </row>
    <row r="50" spans="1:9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  <c r="I50" s="126"/>
    </row>
    <row r="51" spans="1:9">
      <c r="A51" s="483"/>
      <c r="B51" s="483"/>
      <c r="C51" s="483"/>
      <c r="D51" s="483"/>
      <c r="E51" s="483"/>
      <c r="F51" s="483" t="s">
        <v>2</v>
      </c>
      <c r="G51" s="483"/>
      <c r="H51" s="483"/>
      <c r="I51" s="483"/>
    </row>
    <row r="52" spans="1:9">
      <c r="A52" s="151"/>
      <c r="B52" s="483"/>
      <c r="C52" s="483"/>
      <c r="D52" s="483"/>
      <c r="E52" s="483"/>
      <c r="F52" s="483"/>
      <c r="G52" s="483"/>
      <c r="H52" s="483"/>
      <c r="I52" s="483"/>
    </row>
    <row r="53" spans="1:9">
      <c r="A53" s="483"/>
      <c r="B53" s="483"/>
      <c r="C53" s="483"/>
      <c r="D53" s="483"/>
      <c r="E53" s="483"/>
      <c r="F53" s="482" t="s">
        <v>1</v>
      </c>
      <c r="G53" s="483"/>
      <c r="H53" s="483"/>
      <c r="I53" s="483"/>
    </row>
    <row r="54" spans="1:9">
      <c r="A54" s="483"/>
      <c r="B54" s="483"/>
      <c r="C54" s="483"/>
      <c r="D54" s="483"/>
      <c r="E54" s="483"/>
      <c r="F54" s="482" t="s">
        <v>0</v>
      </c>
      <c r="G54" s="483"/>
      <c r="H54" s="483"/>
      <c r="I54" s="483"/>
    </row>
    <row r="55" spans="1:9">
      <c r="A55" s="483"/>
      <c r="B55" s="483"/>
      <c r="C55" s="483"/>
      <c r="D55" s="483"/>
      <c r="E55" s="483"/>
      <c r="F55" s="483"/>
      <c r="G55" s="483"/>
      <c r="H55" s="483"/>
      <c r="I55" s="483"/>
    </row>
    <row r="56" spans="1:9">
      <c r="A56" s="483"/>
      <c r="B56" s="483"/>
      <c r="C56" s="483"/>
      <c r="D56" s="483"/>
      <c r="E56" s="483"/>
      <c r="F56" s="483"/>
      <c r="G56" s="483"/>
      <c r="H56" s="483"/>
      <c r="I56" s="483"/>
    </row>
    <row r="57" spans="1:9">
      <c r="A57" s="483"/>
      <c r="B57" s="483"/>
      <c r="C57" s="483"/>
      <c r="D57" s="483"/>
      <c r="E57" s="483"/>
      <c r="F57" s="483"/>
      <c r="G57" s="483"/>
      <c r="H57" s="483"/>
      <c r="I57" s="483"/>
    </row>
    <row r="58" spans="1:9">
      <c r="A58" s="483"/>
      <c r="B58" s="483"/>
      <c r="C58" s="483"/>
      <c r="D58" s="483"/>
      <c r="E58" s="483"/>
      <c r="F58" s="483"/>
      <c r="G58" s="483"/>
      <c r="H58" s="483"/>
      <c r="I58" s="48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00"/>
  <dimension ref="A1:N55"/>
  <sheetViews>
    <sheetView zoomScaleNormal="100" zoomScaleSheetLayoutView="85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0.5703125" style="1" customWidth="1"/>
    <col min="4" max="4" width="23" style="1" customWidth="1"/>
    <col min="5" max="5" width="1.2851562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483"/>
      <c r="D8" s="111"/>
      <c r="E8" s="483"/>
      <c r="F8" s="22" t="s">
        <v>23</v>
      </c>
      <c r="G8" s="111"/>
      <c r="H8" s="111"/>
    </row>
    <row r="9" spans="1:8">
      <c r="A9" s="111"/>
      <c r="B9" s="111"/>
      <c r="C9" s="483"/>
      <c r="D9" s="111"/>
      <c r="E9" s="483"/>
      <c r="F9" s="112" t="s">
        <v>1127</v>
      </c>
      <c r="G9" s="489" t="s">
        <v>6664</v>
      </c>
      <c r="H9" s="111"/>
    </row>
    <row r="10" spans="1:8">
      <c r="A10" s="111" t="s">
        <v>3621</v>
      </c>
      <c r="B10" s="111"/>
      <c r="C10" s="483"/>
      <c r="D10" s="111"/>
      <c r="E10" s="483"/>
      <c r="F10" s="112" t="s">
        <v>1162</v>
      </c>
      <c r="G10" s="132" t="s">
        <v>6663</v>
      </c>
      <c r="H10" s="111"/>
    </row>
    <row r="11" spans="1:8">
      <c r="A11" s="111" t="s">
        <v>3622</v>
      </c>
      <c r="B11" s="111"/>
      <c r="C11" s="483"/>
      <c r="D11" s="111"/>
      <c r="E11" s="483"/>
      <c r="F11" s="112" t="s">
        <v>1163</v>
      </c>
      <c r="G11" s="132" t="s">
        <v>1094</v>
      </c>
      <c r="H11" s="111"/>
    </row>
    <row r="12" spans="1:8">
      <c r="A12" s="111" t="s">
        <v>3623</v>
      </c>
      <c r="B12" s="111"/>
      <c r="C12" s="483"/>
      <c r="D12" s="111"/>
      <c r="E12" s="483"/>
      <c r="F12" s="112" t="s">
        <v>1135</v>
      </c>
      <c r="G12" s="111" t="s">
        <v>6665</v>
      </c>
      <c r="H12" s="111"/>
    </row>
    <row r="13" spans="1:8">
      <c r="A13" s="111" t="s">
        <v>3624</v>
      </c>
      <c r="B13" s="111"/>
      <c r="C13" s="483"/>
      <c r="D13" s="111"/>
      <c r="E13" s="483"/>
      <c r="F13" s="111"/>
      <c r="G13" s="111" t="s">
        <v>5914</v>
      </c>
      <c r="H13" s="111"/>
    </row>
    <row r="14" spans="1:8">
      <c r="A14" s="111" t="s">
        <v>1287</v>
      </c>
      <c r="B14" s="111"/>
      <c r="C14" s="483"/>
      <c r="D14" s="111"/>
      <c r="E14" s="483"/>
      <c r="F14" s="111"/>
      <c r="G14" s="111"/>
      <c r="H14" s="111"/>
    </row>
    <row r="15" spans="1:8">
      <c r="A15" s="111" t="s">
        <v>3625</v>
      </c>
      <c r="B15" s="111"/>
      <c r="C15" s="483"/>
      <c r="D15" s="111"/>
      <c r="E15" s="483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14">
      <c r="A17" s="111"/>
      <c r="B17" s="111"/>
      <c r="C17" s="483"/>
      <c r="D17" s="111"/>
      <c r="E17" s="483"/>
      <c r="F17" s="111"/>
      <c r="G17" s="111"/>
      <c r="H17" s="111"/>
    </row>
    <row r="18" spans="1:14">
      <c r="A18" s="120"/>
      <c r="B18" s="111"/>
      <c r="C18" s="483"/>
      <c r="D18" s="2" t="s">
        <v>5639</v>
      </c>
      <c r="E18" s="482"/>
      <c r="F18" s="111"/>
      <c r="G18" s="111"/>
      <c r="H18" s="111"/>
    </row>
    <row r="19" spans="1:14">
      <c r="A19" s="111"/>
      <c r="B19" s="116"/>
      <c r="C19" s="485"/>
      <c r="D19" s="2"/>
      <c r="E19" s="482"/>
      <c r="F19" s="111"/>
      <c r="G19" s="111"/>
      <c r="H19" s="111"/>
      <c r="I19" s="111"/>
    </row>
    <row r="20" spans="1:14">
      <c r="A20" s="485" t="s">
        <v>6666</v>
      </c>
      <c r="B20" s="485" t="s">
        <v>6667</v>
      </c>
      <c r="C20" s="485"/>
      <c r="D20" s="111" t="s">
        <v>6668</v>
      </c>
      <c r="E20" s="483"/>
      <c r="F20" s="111"/>
      <c r="G20" s="111"/>
      <c r="H20" s="111">
        <v>300</v>
      </c>
      <c r="I20" s="111"/>
      <c r="K20" s="483" t="s">
        <v>5640</v>
      </c>
      <c r="L20" s="483"/>
      <c r="M20" s="483"/>
      <c r="N20" s="483">
        <v>2600</v>
      </c>
    </row>
    <row r="21" spans="1:14">
      <c r="A21" s="112"/>
      <c r="B21" s="120"/>
      <c r="C21" s="486"/>
      <c r="D21" s="111" t="s">
        <v>6669</v>
      </c>
      <c r="E21" s="483"/>
      <c r="F21" s="111"/>
      <c r="G21" s="111"/>
      <c r="H21" s="111"/>
      <c r="I21" s="111"/>
      <c r="K21" s="483" t="s">
        <v>5641</v>
      </c>
      <c r="L21" s="483"/>
      <c r="M21" s="483"/>
      <c r="N21" s="483">
        <v>300</v>
      </c>
    </row>
    <row r="22" spans="1:14">
      <c r="A22" s="116"/>
      <c r="B22" s="120"/>
      <c r="C22" s="486"/>
      <c r="D22" s="111"/>
      <c r="E22" s="483"/>
      <c r="F22" s="111"/>
      <c r="G22" s="116"/>
      <c r="H22" s="111"/>
      <c r="I22" s="111"/>
      <c r="K22" s="483" t="s">
        <v>5642</v>
      </c>
      <c r="L22" s="483"/>
      <c r="M22" s="485"/>
      <c r="N22" s="483">
        <v>500</v>
      </c>
    </row>
    <row r="23" spans="1:14">
      <c r="D23" s="111" t="s">
        <v>6670</v>
      </c>
      <c r="E23" s="483"/>
      <c r="H23" s="111"/>
      <c r="I23" s="111"/>
      <c r="K23" s="483" t="s">
        <v>5643</v>
      </c>
      <c r="N23" s="483">
        <v>160</v>
      </c>
    </row>
    <row r="24" spans="1:14">
      <c r="A24" s="116"/>
      <c r="B24" s="116"/>
      <c r="C24" s="485"/>
      <c r="D24" s="111" t="s">
        <v>6671</v>
      </c>
      <c r="E24" s="483"/>
      <c r="F24" s="111"/>
      <c r="G24" s="111"/>
      <c r="H24" s="111">
        <v>1200</v>
      </c>
      <c r="I24" s="111"/>
      <c r="K24" s="483" t="s">
        <v>5644</v>
      </c>
      <c r="L24" s="483"/>
      <c r="M24" s="483"/>
      <c r="N24" s="483">
        <v>200</v>
      </c>
    </row>
    <row r="25" spans="1:14">
      <c r="A25" s="112"/>
      <c r="B25" s="120"/>
      <c r="C25" s="486"/>
      <c r="D25" s="111"/>
      <c r="E25" s="483"/>
      <c r="F25" s="111"/>
      <c r="G25" s="111"/>
      <c r="H25" s="111"/>
      <c r="I25" s="111"/>
      <c r="K25" s="483" t="s">
        <v>5645</v>
      </c>
      <c r="L25" s="483"/>
      <c r="M25" s="483"/>
      <c r="N25" s="483">
        <v>740</v>
      </c>
    </row>
    <row r="26" spans="1:14">
      <c r="A26" s="116"/>
      <c r="B26" s="120"/>
      <c r="C26" s="486"/>
      <c r="D26" s="111" t="s">
        <v>6672</v>
      </c>
      <c r="E26" s="483"/>
      <c r="F26" s="111"/>
      <c r="G26" s="116"/>
      <c r="H26" s="111">
        <f>H20*6%</f>
        <v>18</v>
      </c>
      <c r="I26" s="111"/>
      <c r="K26" s="483" t="s">
        <v>5124</v>
      </c>
      <c r="L26" s="483"/>
      <c r="M26" s="485"/>
      <c r="N26" s="483">
        <v>225.6</v>
      </c>
    </row>
    <row r="27" spans="1:14">
      <c r="A27" s="112"/>
      <c r="B27" s="120"/>
      <c r="C27" s="486"/>
      <c r="D27" s="111"/>
      <c r="E27" s="483"/>
      <c r="F27" s="111"/>
      <c r="G27" s="111"/>
      <c r="H27" s="111"/>
      <c r="I27" s="111"/>
      <c r="K27" s="483"/>
      <c r="L27" s="483"/>
      <c r="M27" s="483"/>
      <c r="N27" s="483"/>
    </row>
    <row r="28" spans="1:14">
      <c r="A28" s="112"/>
      <c r="B28" s="120"/>
      <c r="C28" s="486"/>
      <c r="D28" s="111"/>
      <c r="E28" s="483"/>
      <c r="F28" s="111"/>
      <c r="G28" s="116"/>
      <c r="H28" s="111"/>
      <c r="I28" s="111"/>
    </row>
    <row r="29" spans="1:14">
      <c r="A29" s="484"/>
      <c r="B29" s="486"/>
      <c r="C29" s="486"/>
      <c r="D29" s="483"/>
      <c r="E29" s="483"/>
      <c r="F29" s="483"/>
      <c r="G29" s="485"/>
      <c r="H29" s="483"/>
      <c r="I29" s="483"/>
    </row>
    <row r="30" spans="1:14">
      <c r="A30" s="111"/>
      <c r="B30" s="120"/>
      <c r="C30" s="486"/>
      <c r="D30" s="111"/>
      <c r="E30" s="483"/>
      <c r="F30" s="111"/>
      <c r="G30" s="111"/>
      <c r="H30" s="111"/>
    </row>
    <row r="31" spans="1:14">
      <c r="A31" s="116"/>
      <c r="B31" s="120"/>
      <c r="C31" s="486"/>
      <c r="D31" s="111"/>
      <c r="E31" s="483"/>
      <c r="F31" s="111"/>
      <c r="G31" s="111"/>
      <c r="H31" s="111"/>
    </row>
    <row r="32" spans="1:14">
      <c r="A32" s="116"/>
      <c r="B32" s="120"/>
      <c r="C32" s="486"/>
      <c r="D32" s="111"/>
      <c r="E32" s="483"/>
      <c r="F32" s="111"/>
      <c r="G32" s="111"/>
    </row>
    <row r="33" spans="1:8">
      <c r="A33" s="111"/>
      <c r="B33" s="111"/>
      <c r="C33" s="483"/>
      <c r="D33" s="111"/>
      <c r="E33" s="483"/>
      <c r="F33" s="111"/>
      <c r="G33" s="111"/>
    </row>
    <row r="34" spans="1:8" ht="13.5" thickBot="1">
      <c r="A34" s="111"/>
      <c r="B34" s="111"/>
      <c r="C34" s="483"/>
      <c r="D34" s="111"/>
      <c r="E34" s="483"/>
      <c r="F34" s="111"/>
      <c r="G34" s="111"/>
      <c r="H34" s="117">
        <f>SUM(H20:H33)</f>
        <v>1518</v>
      </c>
    </row>
    <row r="35" spans="1:8" ht="13.5" thickTop="1">
      <c r="A35" s="111"/>
      <c r="B35" s="111"/>
      <c r="C35" s="483"/>
      <c r="D35" s="111"/>
      <c r="E35" s="483"/>
      <c r="F35" s="111"/>
      <c r="G35" s="111"/>
      <c r="H35" s="111"/>
    </row>
    <row r="36" spans="1:8" ht="20.100000000000001" customHeight="1">
      <c r="A36" s="118" t="s">
        <v>1133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One Thousand Five Hundred Eighteen and NO/100 -----------</v>
      </c>
      <c r="C36" s="202"/>
      <c r="D36" s="119"/>
      <c r="E36" s="119"/>
      <c r="F36" s="119"/>
      <c r="G36" s="119"/>
      <c r="H36" s="119"/>
    </row>
    <row r="37" spans="1:8">
      <c r="A37" s="120" t="s">
        <v>11</v>
      </c>
      <c r="B37" s="111"/>
      <c r="C37" s="483"/>
      <c r="D37" s="111"/>
      <c r="E37" s="483"/>
      <c r="F37" s="111"/>
      <c r="G37" s="111"/>
      <c r="H37" s="111"/>
    </row>
    <row r="38" spans="1:8">
      <c r="A38" s="111" t="s">
        <v>10</v>
      </c>
      <c r="B38" s="111"/>
      <c r="C38" s="483"/>
      <c r="D38" s="111"/>
      <c r="E38" s="483"/>
      <c r="F38" s="111"/>
      <c r="G38" s="111"/>
      <c r="H38" s="111"/>
    </row>
    <row r="39" spans="1:8" ht="25.5">
      <c r="A39" s="126"/>
      <c r="B39" s="111"/>
      <c r="C39" s="483"/>
      <c r="D39" s="111"/>
      <c r="E39" s="483"/>
      <c r="F39" s="265" t="s">
        <v>2894</v>
      </c>
      <c r="G39" s="266"/>
      <c r="H39" s="267"/>
    </row>
    <row r="40" spans="1:8">
      <c r="A40" s="111"/>
      <c r="B40" s="111"/>
      <c r="C40" s="483"/>
      <c r="D40" s="111"/>
      <c r="E40" s="483"/>
      <c r="F40" s="111"/>
      <c r="G40" s="111"/>
      <c r="H40" s="111"/>
    </row>
    <row r="41" spans="1:8">
      <c r="A41" s="111"/>
      <c r="B41" s="111"/>
      <c r="C41" s="483"/>
      <c r="D41" s="121"/>
      <c r="E41" s="121"/>
      <c r="F41" s="111"/>
      <c r="G41" s="111"/>
      <c r="H41" s="111"/>
    </row>
    <row r="42" spans="1:8">
      <c r="A42" s="122"/>
      <c r="B42" s="122"/>
      <c r="C42" s="433"/>
      <c r="D42" s="111"/>
      <c r="E42" s="483"/>
      <c r="F42" s="111"/>
      <c r="G42" s="111"/>
      <c r="H42" s="111"/>
    </row>
    <row r="43" spans="1:8">
      <c r="B43" s="111"/>
      <c r="C43" s="483"/>
      <c r="D43" s="111"/>
      <c r="E43" s="483"/>
      <c r="F43" s="111"/>
      <c r="G43" s="111"/>
      <c r="H43" s="111"/>
    </row>
    <row r="44" spans="1:8">
      <c r="A44" s="123" t="s">
        <v>8</v>
      </c>
      <c r="D44" s="487" t="s">
        <v>8</v>
      </c>
      <c r="E44" s="483"/>
      <c r="F44" s="123" t="s">
        <v>7</v>
      </c>
      <c r="G44" s="111"/>
      <c r="H44" s="124"/>
    </row>
    <row r="45" spans="1:8">
      <c r="A45" s="111"/>
      <c r="B45" s="111"/>
      <c r="C45" s="483"/>
      <c r="D45" s="483"/>
      <c r="E45" s="483"/>
      <c r="F45" s="111"/>
      <c r="G45" s="111"/>
      <c r="H45" s="111"/>
    </row>
    <row r="46" spans="1:8">
      <c r="A46" s="111"/>
      <c r="B46" s="111"/>
      <c r="C46" s="483"/>
      <c r="D46" s="483"/>
      <c r="E46" s="483"/>
      <c r="F46" s="111"/>
      <c r="G46" s="111"/>
      <c r="H46" s="111"/>
    </row>
    <row r="47" spans="1:8">
      <c r="A47" s="111"/>
      <c r="B47" s="111"/>
      <c r="C47" s="483"/>
      <c r="D47" s="483"/>
      <c r="E47" s="483"/>
      <c r="F47" s="111"/>
      <c r="G47" s="111"/>
      <c r="H47" s="111"/>
    </row>
    <row r="48" spans="1:8">
      <c r="A48" s="122"/>
      <c r="B48" s="122"/>
      <c r="C48" s="433"/>
      <c r="D48" s="122"/>
      <c r="E48" s="483"/>
      <c r="F48" s="122"/>
      <c r="G48" s="122"/>
      <c r="H48" s="122"/>
    </row>
    <row r="49" spans="1:8" s="3" customFormat="1" ht="17.100000000000001" customHeight="1">
      <c r="A49" s="151" t="s">
        <v>2948</v>
      </c>
      <c r="B49" s="125"/>
      <c r="C49" s="125"/>
      <c r="D49" s="151" t="s">
        <v>103</v>
      </c>
      <c r="E49" s="126"/>
      <c r="F49" s="126" t="s">
        <v>3</v>
      </c>
      <c r="G49" s="126"/>
      <c r="H49" s="126"/>
    </row>
    <row r="50" spans="1:8">
      <c r="A50" s="151"/>
      <c r="B50" s="111"/>
      <c r="C50" s="483"/>
      <c r="D50" s="111"/>
      <c r="E50" s="483"/>
      <c r="F50" s="111" t="s">
        <v>2</v>
      </c>
      <c r="G50" s="111"/>
      <c r="H50" s="111"/>
    </row>
    <row r="51" spans="1:8">
      <c r="A51" s="111"/>
      <c r="B51" s="111"/>
      <c r="C51" s="483"/>
      <c r="D51" s="111"/>
      <c r="E51" s="483"/>
      <c r="F51" s="111"/>
      <c r="G51" s="111"/>
      <c r="H51" s="111"/>
    </row>
    <row r="52" spans="1:8">
      <c r="A52" s="111"/>
      <c r="B52" s="111"/>
      <c r="C52" s="483"/>
      <c r="D52" s="111"/>
      <c r="E52" s="483"/>
      <c r="F52" s="2" t="s">
        <v>1</v>
      </c>
      <c r="G52" s="111"/>
      <c r="H52" s="111"/>
    </row>
    <row r="53" spans="1:8">
      <c r="A53" s="111"/>
      <c r="B53" s="111"/>
      <c r="C53" s="483"/>
      <c r="D53" s="111"/>
      <c r="E53" s="483"/>
      <c r="F53" s="2" t="s">
        <v>0</v>
      </c>
      <c r="G53" s="111"/>
      <c r="H53" s="111"/>
    </row>
    <row r="54" spans="1:8">
      <c r="A54" s="111"/>
      <c r="B54" s="111"/>
      <c r="C54" s="483"/>
      <c r="D54" s="111"/>
      <c r="E54" s="483"/>
      <c r="F54" s="111"/>
      <c r="G54" s="111"/>
      <c r="H54" s="111"/>
    </row>
    <row r="55" spans="1:8">
      <c r="A55" s="111"/>
      <c r="B55" s="111"/>
      <c r="C55" s="483"/>
      <c r="D55" s="111"/>
      <c r="E55" s="483"/>
      <c r="F55" s="111"/>
      <c r="G55" s="111"/>
      <c r="H55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37">
    <pageSetUpPr fitToPage="1"/>
  </sheetPr>
  <dimension ref="A1:G54"/>
  <sheetViews>
    <sheetView workbookViewId="0">
      <selection activeCell="G9" sqref="G9:G13"/>
    </sheetView>
  </sheetViews>
  <sheetFormatPr defaultRowHeight="12.75"/>
  <cols>
    <col min="1" max="1" width="15.7109375" style="131" customWidth="1"/>
    <col min="2" max="2" width="14.140625" style="131" customWidth="1"/>
    <col min="3" max="3" width="21" style="131" customWidth="1"/>
    <col min="4" max="4" width="16.42578125" style="131" customWidth="1"/>
    <col min="5" max="5" width="8.7109375" style="131" customWidth="1"/>
    <col min="6" max="6" width="13.28515625" style="131" customWidth="1"/>
    <col min="7" max="16384" width="9.140625" style="86"/>
  </cols>
  <sheetData>
    <row r="1" spans="1:7" ht="15">
      <c r="A1" s="531" t="s">
        <v>26</v>
      </c>
      <c r="B1" s="531"/>
      <c r="C1" s="531"/>
      <c r="D1" s="531"/>
      <c r="E1" s="531"/>
      <c r="F1" s="531"/>
    </row>
    <row r="2" spans="1:7">
      <c r="A2" s="532" t="s">
        <v>25</v>
      </c>
      <c r="B2" s="532"/>
      <c r="C2" s="532"/>
      <c r="D2" s="532"/>
      <c r="E2" s="532"/>
      <c r="F2" s="532"/>
    </row>
    <row r="3" spans="1:7">
      <c r="A3" s="532" t="s">
        <v>1480</v>
      </c>
      <c r="B3" s="532"/>
      <c r="C3" s="532"/>
      <c r="D3" s="532"/>
      <c r="E3" s="532"/>
      <c r="F3" s="532"/>
    </row>
    <row r="4" spans="1:7">
      <c r="A4" s="532" t="s">
        <v>1684</v>
      </c>
      <c r="B4" s="532"/>
      <c r="C4" s="532"/>
      <c r="D4" s="532"/>
      <c r="E4" s="532"/>
      <c r="F4" s="532"/>
    </row>
    <row r="8" spans="1:7">
      <c r="A8" s="131" t="s">
        <v>24</v>
      </c>
      <c r="D8" s="87" t="s">
        <v>23</v>
      </c>
    </row>
    <row r="9" spans="1:7">
      <c r="D9" s="132" t="s">
        <v>3349</v>
      </c>
      <c r="E9" s="111" t="s">
        <v>4893</v>
      </c>
      <c r="G9" s="147"/>
    </row>
    <row r="10" spans="1:7">
      <c r="A10" s="131" t="s">
        <v>3761</v>
      </c>
      <c r="D10" s="132" t="s">
        <v>1340</v>
      </c>
      <c r="E10" s="111" t="s">
        <v>4891</v>
      </c>
      <c r="G10" s="212"/>
    </row>
    <row r="11" spans="1:7">
      <c r="A11" s="131" t="s">
        <v>3762</v>
      </c>
      <c r="D11" s="132" t="s">
        <v>3350</v>
      </c>
      <c r="E11" s="111" t="s">
        <v>1094</v>
      </c>
      <c r="G11" s="212"/>
    </row>
    <row r="12" spans="1:7">
      <c r="D12" s="132" t="s">
        <v>1188</v>
      </c>
      <c r="E12" s="111" t="s">
        <v>4894</v>
      </c>
      <c r="G12" s="212"/>
    </row>
    <row r="13" spans="1:7">
      <c r="E13" s="111"/>
    </row>
    <row r="16" spans="1:7" s="95" customFormat="1" ht="20.100000000000001" customHeight="1">
      <c r="A16" s="90" t="s">
        <v>1122</v>
      </c>
      <c r="B16" s="90" t="s">
        <v>1132</v>
      </c>
      <c r="C16" s="92" t="s">
        <v>14</v>
      </c>
      <c r="D16" s="90"/>
      <c r="E16" s="93"/>
      <c r="F16" s="94" t="s">
        <v>13</v>
      </c>
    </row>
    <row r="18" spans="1:6">
      <c r="A18" s="158"/>
      <c r="B18" s="165"/>
      <c r="C18" s="110" t="s">
        <v>3763</v>
      </c>
    </row>
    <row r="19" spans="1:6">
      <c r="A19" s="158"/>
      <c r="B19" s="165"/>
      <c r="C19" s="110"/>
    </row>
    <row r="20" spans="1:6">
      <c r="A20" s="158" t="s">
        <v>4892</v>
      </c>
      <c r="B20" s="163"/>
      <c r="C20" s="131" t="s">
        <v>4896</v>
      </c>
      <c r="F20" s="131">
        <v>483.87</v>
      </c>
    </row>
    <row r="21" spans="1:6">
      <c r="A21" s="158"/>
      <c r="B21" s="165"/>
      <c r="C21" s="131" t="s">
        <v>4895</v>
      </c>
    </row>
    <row r="24" spans="1:6">
      <c r="A24" s="158"/>
      <c r="B24" s="163"/>
    </row>
    <row r="25" spans="1:6">
      <c r="A25" s="158"/>
      <c r="B25" s="158"/>
    </row>
    <row r="26" spans="1:6">
      <c r="A26" s="165"/>
      <c r="B26" s="158"/>
      <c r="C26" s="110"/>
      <c r="F26" s="149"/>
    </row>
    <row r="27" spans="1:6">
      <c r="A27" s="165"/>
      <c r="B27" s="141"/>
    </row>
    <row r="28" spans="1:6">
      <c r="A28" s="158"/>
      <c r="B28" s="141"/>
    </row>
    <row r="29" spans="1:6">
      <c r="A29" s="165"/>
      <c r="B29" s="158"/>
    </row>
    <row r="30" spans="1:6">
      <c r="A30" s="165"/>
      <c r="B30" s="158"/>
    </row>
    <row r="31" spans="1:6">
      <c r="A31" s="165"/>
      <c r="B31" s="158"/>
    </row>
    <row r="32" spans="1:6">
      <c r="A32" s="163"/>
      <c r="B32" s="141"/>
    </row>
    <row r="35" spans="1:6" ht="13.5" thickBot="1">
      <c r="F35" s="164">
        <f>SUM(F19:F34)</f>
        <v>483.87</v>
      </c>
    </row>
    <row r="36" spans="1:6" ht="13.5" thickTop="1"/>
    <row r="37" spans="1:6" ht="20.100000000000001" customHeight="1">
      <c r="A37" s="138" t="s">
        <v>204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Four Hundred Eighty-Three and 87/100 -----------</v>
      </c>
      <c r="C37" s="139"/>
      <c r="D37" s="282"/>
      <c r="E37" s="282"/>
      <c r="F37" s="282"/>
    </row>
    <row r="38" spans="1:6" ht="20.100000000000001" customHeight="1">
      <c r="A38" s="212"/>
      <c r="B38" s="145"/>
      <c r="C38" s="147"/>
      <c r="D38" s="282"/>
      <c r="E38" s="282"/>
      <c r="F38" s="282"/>
    </row>
    <row r="39" spans="1:6" ht="25.5">
      <c r="A39" s="140" t="s">
        <v>3060</v>
      </c>
      <c r="D39" s="283" t="s">
        <v>2894</v>
      </c>
      <c r="E39" s="284"/>
      <c r="F39" s="285"/>
    </row>
    <row r="40" spans="1:6">
      <c r="D40" s="286"/>
      <c r="E40" s="287"/>
      <c r="F40" s="287"/>
    </row>
    <row r="41" spans="1:6">
      <c r="A41" s="86"/>
      <c r="C41" s="141"/>
    </row>
    <row r="42" spans="1:6">
      <c r="A42" s="131" t="s">
        <v>52</v>
      </c>
      <c r="C42" s="141"/>
    </row>
    <row r="43" spans="1:6">
      <c r="A43" s="142"/>
      <c r="B43" s="142"/>
    </row>
    <row r="45" spans="1:6">
      <c r="A45" s="143" t="s">
        <v>8</v>
      </c>
      <c r="D45" s="143" t="s">
        <v>7</v>
      </c>
      <c r="F45" s="144"/>
    </row>
    <row r="49" spans="1:6">
      <c r="A49" s="142"/>
      <c r="B49" s="142"/>
      <c r="D49" s="142"/>
      <c r="E49" s="142"/>
      <c r="F49" s="142"/>
    </row>
    <row r="50" spans="1:6" s="109" customFormat="1" ht="17.100000000000001" customHeight="1">
      <c r="A50" s="145" t="s">
        <v>2948</v>
      </c>
      <c r="B50" s="146"/>
      <c r="C50" s="147"/>
      <c r="D50" s="147" t="s">
        <v>3</v>
      </c>
      <c r="E50" s="147"/>
      <c r="F50" s="147"/>
    </row>
    <row r="51" spans="1:6">
      <c r="D51" s="131" t="s">
        <v>2</v>
      </c>
    </row>
    <row r="53" spans="1:6">
      <c r="D53" s="110" t="s">
        <v>1</v>
      </c>
    </row>
    <row r="54" spans="1:6">
      <c r="D54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Sheet339"/>
  <dimension ref="A1:O54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" style="374" customWidth="1"/>
    <col min="2" max="2" width="12.28515625" style="374" customWidth="1"/>
    <col min="3" max="3" width="0.7109375" style="374" customWidth="1"/>
    <col min="4" max="4" width="24.85546875" style="374" customWidth="1"/>
    <col min="5" max="5" width="0.85546875" style="374" customWidth="1"/>
    <col min="6" max="6" width="12.42578125" style="374" customWidth="1"/>
    <col min="7" max="7" width="8.7109375" style="374" customWidth="1"/>
    <col min="8" max="8" width="13.28515625" style="374" customWidth="1"/>
    <col min="9" max="16384" width="9.140625" style="373"/>
  </cols>
  <sheetData>
    <row r="1" spans="1:14" ht="15">
      <c r="A1" s="534" t="s">
        <v>26</v>
      </c>
      <c r="B1" s="534"/>
      <c r="C1" s="534"/>
      <c r="D1" s="534"/>
      <c r="E1" s="534"/>
      <c r="F1" s="534"/>
      <c r="G1" s="534"/>
      <c r="H1" s="534"/>
    </row>
    <row r="2" spans="1:14">
      <c r="A2" s="535" t="s">
        <v>25</v>
      </c>
      <c r="B2" s="535"/>
      <c r="C2" s="535"/>
      <c r="D2" s="535"/>
      <c r="E2" s="535"/>
      <c r="F2" s="535"/>
      <c r="G2" s="535"/>
      <c r="H2" s="535"/>
    </row>
    <row r="3" spans="1:14">
      <c r="A3" s="535" t="s">
        <v>1480</v>
      </c>
      <c r="B3" s="535"/>
      <c r="C3" s="535"/>
      <c r="D3" s="535"/>
      <c r="E3" s="535"/>
      <c r="F3" s="535"/>
      <c r="G3" s="535"/>
      <c r="H3" s="535"/>
    </row>
    <row r="4" spans="1:14">
      <c r="A4" s="535" t="s">
        <v>1684</v>
      </c>
      <c r="B4" s="535"/>
      <c r="C4" s="535"/>
      <c r="D4" s="535"/>
      <c r="E4" s="535"/>
      <c r="F4" s="535"/>
      <c r="G4" s="535"/>
      <c r="H4" s="535"/>
    </row>
    <row r="7" spans="1:14">
      <c r="J7" s="111" t="s">
        <v>6972</v>
      </c>
    </row>
    <row r="8" spans="1:14">
      <c r="A8" s="374" t="s">
        <v>24</v>
      </c>
      <c r="F8" s="375" t="s">
        <v>23</v>
      </c>
      <c r="J8" s="314" t="s">
        <v>6974</v>
      </c>
    </row>
    <row r="9" spans="1:14">
      <c r="F9" s="376" t="s">
        <v>1110</v>
      </c>
      <c r="G9" s="483" t="s">
        <v>6975</v>
      </c>
      <c r="J9" s="111" t="s">
        <v>6973</v>
      </c>
    </row>
    <row r="10" spans="1:14">
      <c r="A10" s="374" t="s">
        <v>2833</v>
      </c>
      <c r="F10" s="376" t="s">
        <v>1685</v>
      </c>
      <c r="G10" s="486" t="s">
        <v>6971</v>
      </c>
    </row>
    <row r="11" spans="1:14">
      <c r="A11" s="374" t="s">
        <v>2993</v>
      </c>
      <c r="F11" s="376" t="s">
        <v>1163</v>
      </c>
      <c r="G11" s="483" t="s">
        <v>1094</v>
      </c>
    </row>
    <row r="12" spans="1:14">
      <c r="F12" s="376" t="s">
        <v>1188</v>
      </c>
      <c r="G12" s="486" t="s">
        <v>6976</v>
      </c>
    </row>
    <row r="13" spans="1:14">
      <c r="G13" s="483" t="s">
        <v>6182</v>
      </c>
    </row>
    <row r="14" spans="1:14">
      <c r="G14" s="483"/>
    </row>
    <row r="15" spans="1:14">
      <c r="K15" s="379" t="s">
        <v>4530</v>
      </c>
      <c r="L15" s="377"/>
      <c r="M15" s="377"/>
      <c r="N15" s="377"/>
    </row>
    <row r="16" spans="1:14" s="385" customFormat="1" ht="20.100000000000001" customHeight="1">
      <c r="A16" s="380" t="s">
        <v>1140</v>
      </c>
      <c r="B16" s="381" t="s">
        <v>1098</v>
      </c>
      <c r="C16" s="381"/>
      <c r="D16" s="382" t="s">
        <v>14</v>
      </c>
      <c r="E16" s="382"/>
      <c r="F16" s="380"/>
      <c r="G16" s="383"/>
      <c r="H16" s="384" t="s">
        <v>13</v>
      </c>
      <c r="K16" s="379"/>
      <c r="L16" s="377"/>
      <c r="M16" s="377"/>
      <c r="N16" s="377"/>
    </row>
    <row r="17" spans="1:15">
      <c r="A17" s="377"/>
      <c r="B17" s="377"/>
      <c r="C17" s="377"/>
      <c r="D17" s="111"/>
      <c r="E17" s="111"/>
      <c r="F17" s="111"/>
      <c r="G17" s="111"/>
      <c r="H17" s="111"/>
      <c r="K17" s="377" t="s">
        <v>2719</v>
      </c>
      <c r="L17" s="377"/>
      <c r="M17" s="377"/>
      <c r="N17" s="377">
        <v>1350</v>
      </c>
    </row>
    <row r="18" spans="1:15">
      <c r="A18" s="386"/>
      <c r="C18" s="387"/>
      <c r="D18" s="2" t="s">
        <v>6977</v>
      </c>
      <c r="E18" s="2"/>
      <c r="F18" s="111"/>
      <c r="G18" s="111"/>
      <c r="H18" s="111"/>
      <c r="K18" s="377" t="s">
        <v>1583</v>
      </c>
      <c r="L18" s="377"/>
      <c r="M18" s="377"/>
      <c r="N18" s="377">
        <v>600</v>
      </c>
    </row>
    <row r="19" spans="1:15">
      <c r="A19" s="386"/>
      <c r="B19" s="2"/>
      <c r="C19" s="387"/>
      <c r="D19" s="491" t="s">
        <v>6978</v>
      </c>
      <c r="E19" s="2"/>
      <c r="F19" s="111"/>
      <c r="G19" s="111"/>
      <c r="H19" s="111"/>
      <c r="I19" s="377"/>
      <c r="K19" s="377" t="s">
        <v>4518</v>
      </c>
      <c r="L19" s="377"/>
      <c r="M19" s="377"/>
      <c r="N19" s="377">
        <v>150</v>
      </c>
    </row>
    <row r="20" spans="1:15">
      <c r="A20" s="112"/>
      <c r="C20" s="387"/>
      <c r="D20" s="488"/>
      <c r="E20" s="111"/>
      <c r="F20" s="111"/>
      <c r="G20" s="111"/>
      <c r="H20" s="111"/>
      <c r="I20" s="377"/>
      <c r="K20" s="377"/>
      <c r="L20" s="377"/>
      <c r="M20" s="377"/>
      <c r="N20" s="377"/>
    </row>
    <row r="21" spans="1:15">
      <c r="A21" s="489" t="s">
        <v>2834</v>
      </c>
      <c r="B21" s="373"/>
      <c r="C21" s="387"/>
      <c r="D21" s="488" t="s">
        <v>6980</v>
      </c>
      <c r="E21" s="111"/>
      <c r="F21" s="111"/>
      <c r="G21" s="111"/>
      <c r="H21" s="111">
        <v>85</v>
      </c>
      <c r="I21" s="377"/>
      <c r="K21" s="377"/>
      <c r="L21" s="377"/>
      <c r="M21" s="377"/>
      <c r="N21" s="377"/>
    </row>
    <row r="22" spans="1:15">
      <c r="A22" s="493" t="s">
        <v>6979</v>
      </c>
      <c r="B22" s="373"/>
      <c r="C22" s="387"/>
      <c r="D22" s="488"/>
      <c r="E22" s="483"/>
      <c r="F22" s="483"/>
      <c r="G22" s="483"/>
      <c r="H22" s="483"/>
      <c r="I22" s="377"/>
      <c r="K22" s="377"/>
      <c r="L22" s="377"/>
      <c r="M22" s="377"/>
      <c r="N22" s="377"/>
    </row>
    <row r="23" spans="1:15">
      <c r="B23" s="388"/>
      <c r="C23" s="388"/>
      <c r="D23" s="373"/>
      <c r="E23" s="111"/>
      <c r="F23" s="111"/>
      <c r="G23" s="111"/>
      <c r="H23" s="111"/>
      <c r="I23" s="377"/>
    </row>
    <row r="24" spans="1:15">
      <c r="A24" s="373"/>
      <c r="B24" s="377"/>
      <c r="C24" s="377"/>
      <c r="D24" s="483"/>
      <c r="E24" s="110"/>
      <c r="I24" s="377"/>
      <c r="K24" s="111" t="s">
        <v>2719</v>
      </c>
      <c r="L24" s="111"/>
      <c r="M24" s="111"/>
      <c r="N24" s="111">
        <v>810</v>
      </c>
      <c r="O24" s="377"/>
    </row>
    <row r="25" spans="1:15">
      <c r="A25" s="373"/>
      <c r="B25" s="377"/>
      <c r="C25" s="377"/>
      <c r="D25" s="482"/>
      <c r="E25" s="111"/>
      <c r="F25" s="111"/>
      <c r="G25" s="111"/>
      <c r="H25" s="111"/>
      <c r="I25" s="377"/>
      <c r="K25" s="111" t="s">
        <v>1583</v>
      </c>
      <c r="L25" s="111"/>
      <c r="M25" s="111"/>
      <c r="N25" s="111">
        <v>300</v>
      </c>
      <c r="O25" s="377"/>
    </row>
    <row r="26" spans="1:15">
      <c r="A26" s="484"/>
      <c r="B26" s="378"/>
      <c r="C26" s="378"/>
      <c r="D26" s="111"/>
      <c r="E26" s="111"/>
      <c r="F26" s="111"/>
      <c r="G26" s="111"/>
      <c r="H26" s="111"/>
      <c r="I26" s="377"/>
      <c r="K26" s="111" t="s">
        <v>4518</v>
      </c>
      <c r="L26" s="111"/>
      <c r="M26" s="111"/>
      <c r="N26" s="111">
        <v>100</v>
      </c>
      <c r="O26" s="377"/>
    </row>
    <row r="27" spans="1:15">
      <c r="A27" s="484"/>
      <c r="B27" s="377"/>
      <c r="C27" s="377"/>
      <c r="D27" s="111"/>
      <c r="E27" s="111"/>
      <c r="F27" s="377"/>
      <c r="G27" s="377"/>
      <c r="H27" s="377"/>
      <c r="I27" s="377"/>
      <c r="K27" s="111"/>
      <c r="L27" s="111"/>
      <c r="M27" s="111"/>
      <c r="N27" s="111"/>
      <c r="O27" s="377"/>
    </row>
    <row r="28" spans="1:15">
      <c r="A28" s="493"/>
      <c r="D28" s="111"/>
      <c r="E28" s="111"/>
      <c r="K28" s="111"/>
      <c r="L28" s="111"/>
      <c r="M28" s="111"/>
      <c r="N28" s="111"/>
      <c r="O28" s="377"/>
    </row>
    <row r="29" spans="1:15">
      <c r="A29" s="143"/>
      <c r="D29" s="111"/>
      <c r="E29" s="2"/>
    </row>
    <row r="30" spans="1:15">
      <c r="A30" s="112"/>
      <c r="D30" s="2"/>
      <c r="E30" s="2"/>
    </row>
    <row r="31" spans="1:15">
      <c r="A31" s="112"/>
      <c r="D31" s="111"/>
      <c r="E31" s="111"/>
    </row>
    <row r="32" spans="1:15">
      <c r="A32" s="143"/>
      <c r="D32" s="111"/>
      <c r="E32" s="111"/>
    </row>
    <row r="33" spans="1:8">
      <c r="A33" s="120"/>
      <c r="D33" s="111"/>
      <c r="E33" s="111"/>
    </row>
    <row r="34" spans="1:8">
      <c r="A34" s="391"/>
      <c r="H34" s="373"/>
    </row>
    <row r="35" spans="1:8" ht="13.5" thickBot="1">
      <c r="A35" s="391"/>
      <c r="H35" s="392">
        <f>SUM(H20:H33)</f>
        <v>85</v>
      </c>
    </row>
    <row r="36" spans="1:8" ht="13.5" thickTop="1">
      <c r="A36" s="391"/>
    </row>
    <row r="37" spans="1:8" ht="21.75" customHeight="1">
      <c r="A37" s="393" t="s">
        <v>1686</v>
      </c>
      <c r="B37" s="39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Eighty-Five and NO/100 -----------</v>
      </c>
      <c r="C37" s="394"/>
      <c r="D37" s="395"/>
      <c r="E37" s="395"/>
      <c r="F37" s="395"/>
      <c r="G37" s="395"/>
      <c r="H37" s="395"/>
    </row>
    <row r="38" spans="1:8">
      <c r="A38" s="396"/>
    </row>
    <row r="39" spans="1:8" ht="25.5">
      <c r="A39" s="374" t="s">
        <v>10</v>
      </c>
      <c r="F39" s="397" t="s">
        <v>2894</v>
      </c>
      <c r="G39" s="398"/>
      <c r="H39" s="399"/>
    </row>
    <row r="40" spans="1:8">
      <c r="A40" s="400"/>
    </row>
    <row r="41" spans="1:8" s="407" customFormat="1" ht="17.100000000000001" customHeight="1">
      <c r="A41" s="374"/>
      <c r="B41" s="374"/>
      <c r="C41" s="374"/>
      <c r="D41" s="374"/>
      <c r="E41" s="374"/>
      <c r="F41" s="374"/>
      <c r="G41" s="374"/>
      <c r="H41" s="374"/>
    </row>
    <row r="42" spans="1:8">
      <c r="A42" s="374" t="s">
        <v>51</v>
      </c>
      <c r="D42" s="401"/>
      <c r="E42" s="401"/>
    </row>
    <row r="43" spans="1:8">
      <c r="A43" s="402"/>
      <c r="B43" s="402"/>
      <c r="C43" s="452"/>
    </row>
    <row r="44" spans="1:8">
      <c r="F44" s="403" t="s">
        <v>7</v>
      </c>
    </row>
    <row r="45" spans="1:8">
      <c r="A45" s="374" t="s">
        <v>8</v>
      </c>
      <c r="D45" s="374" t="s">
        <v>8</v>
      </c>
      <c r="H45" s="404"/>
    </row>
    <row r="49" spans="1:8">
      <c r="A49" s="402" t="s">
        <v>51</v>
      </c>
      <c r="B49" s="402"/>
      <c r="C49" s="452"/>
      <c r="D49" s="402" t="s">
        <v>51</v>
      </c>
      <c r="F49" s="402"/>
      <c r="G49" s="402"/>
      <c r="H49" s="402"/>
    </row>
    <row r="50" spans="1:8">
      <c r="A50" s="405" t="s">
        <v>2948</v>
      </c>
      <c r="B50" s="406"/>
      <c r="C50" s="406"/>
      <c r="D50" s="145" t="s">
        <v>103</v>
      </c>
      <c r="E50" s="400"/>
      <c r="F50" s="400" t="s">
        <v>3</v>
      </c>
      <c r="G50" s="400"/>
      <c r="H50" s="400"/>
    </row>
    <row r="51" spans="1:8">
      <c r="A51" s="405"/>
      <c r="D51" s="405"/>
      <c r="F51" s="374" t="s">
        <v>2</v>
      </c>
    </row>
    <row r="53" spans="1:8">
      <c r="F53" s="408" t="s">
        <v>1</v>
      </c>
    </row>
    <row r="54" spans="1:8">
      <c r="F54" s="408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B88B9-A3BC-4542-B267-DE6D87290CA9}">
  <sheetPr codeName="Sheet608"/>
  <dimension ref="A1:R55"/>
  <sheetViews>
    <sheetView view="pageBreakPreview" topLeftCell="A7" zoomScale="115" zoomScaleNormal="100" zoomScaleSheetLayoutView="115" workbookViewId="0">
      <selection activeCell="G9" sqref="G9:G13"/>
    </sheetView>
  </sheetViews>
  <sheetFormatPr defaultRowHeight="12.75"/>
  <cols>
    <col min="1" max="1" width="16" style="488" customWidth="1"/>
    <col min="2" max="2" width="13.7109375" style="488" customWidth="1"/>
    <col min="3" max="3" width="1.28515625" style="488" customWidth="1"/>
    <col min="4" max="4" width="19.42578125" style="488" customWidth="1"/>
    <col min="5" max="5" width="1.42578125" style="488" customWidth="1"/>
    <col min="6" max="6" width="15.28515625" style="488" customWidth="1"/>
    <col min="7" max="7" width="7.5703125" style="488" customWidth="1"/>
    <col min="8" max="8" width="12.42578125" style="488" customWidth="1"/>
    <col min="9" max="15" width="9.140625" style="86"/>
    <col min="16" max="16" width="9.7109375" style="86" bestFit="1" customWidth="1"/>
    <col min="17" max="16384" width="9.140625" style="86"/>
  </cols>
  <sheetData>
    <row r="1" spans="1:16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6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6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6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16">
      <c r="A8" s="488" t="s">
        <v>24</v>
      </c>
      <c r="F8" s="87" t="s">
        <v>23</v>
      </c>
    </row>
    <row r="9" spans="1:16">
      <c r="F9" s="489" t="s">
        <v>1110</v>
      </c>
      <c r="G9" s="489" t="s">
        <v>6216</v>
      </c>
    </row>
    <row r="10" spans="1:16">
      <c r="A10" s="488" t="s">
        <v>6206</v>
      </c>
      <c r="F10" s="489" t="s">
        <v>1685</v>
      </c>
      <c r="G10" s="489" t="s">
        <v>6210</v>
      </c>
    </row>
    <row r="11" spans="1:16">
      <c r="A11" s="488" t="s">
        <v>6207</v>
      </c>
      <c r="F11" s="489" t="s">
        <v>1163</v>
      </c>
      <c r="G11" s="489" t="s">
        <v>1094</v>
      </c>
    </row>
    <row r="12" spans="1:16">
      <c r="A12" s="488" t="s">
        <v>6208</v>
      </c>
      <c r="F12" s="489" t="s">
        <v>1188</v>
      </c>
      <c r="G12" s="486" t="s">
        <v>6223</v>
      </c>
    </row>
    <row r="13" spans="1:16">
      <c r="A13" s="488" t="s">
        <v>6209</v>
      </c>
      <c r="G13" s="483"/>
      <c r="L13" s="488" t="s">
        <v>4741</v>
      </c>
      <c r="M13" s="488"/>
      <c r="N13" s="488"/>
      <c r="O13" s="488"/>
      <c r="P13" s="488">
        <v>3000</v>
      </c>
    </row>
    <row r="14" spans="1:16">
      <c r="L14" s="488" t="s">
        <v>1814</v>
      </c>
      <c r="M14" s="488"/>
      <c r="N14" s="488"/>
      <c r="O14" s="488"/>
      <c r="P14" s="488">
        <f>P13*6%</f>
        <v>180</v>
      </c>
    </row>
    <row r="15" spans="1:16">
      <c r="L15" s="488"/>
      <c r="M15" s="488"/>
      <c r="N15" s="488"/>
      <c r="O15" s="488"/>
      <c r="P15" s="488"/>
    </row>
    <row r="16" spans="1:16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  <c r="L16" s="488" t="s">
        <v>4743</v>
      </c>
      <c r="M16" s="488"/>
      <c r="N16" s="488"/>
      <c r="O16" s="488"/>
      <c r="P16" s="488">
        <f>3000*4</f>
        <v>12000</v>
      </c>
    </row>
    <row r="17" spans="1:18">
      <c r="A17" s="177"/>
      <c r="K17" s="488"/>
      <c r="L17" s="488" t="s">
        <v>4742</v>
      </c>
      <c r="M17" s="488"/>
      <c r="N17" s="488"/>
      <c r="O17" s="488"/>
      <c r="P17" s="488">
        <f>3000*4</f>
        <v>12000</v>
      </c>
    </row>
    <row r="18" spans="1:18">
      <c r="D18" s="491" t="s">
        <v>4503</v>
      </c>
      <c r="E18" s="491"/>
      <c r="K18" s="488"/>
      <c r="L18" s="488" t="s">
        <v>1814</v>
      </c>
      <c r="M18" s="488"/>
      <c r="N18" s="488"/>
      <c r="O18" s="488"/>
      <c r="P18" s="488">
        <f>SUM(P16+P17)*6%</f>
        <v>1440</v>
      </c>
    </row>
    <row r="19" spans="1:18">
      <c r="A19" s="177"/>
      <c r="D19" s="491"/>
      <c r="E19" s="491"/>
      <c r="I19" s="488" t="s">
        <v>5795</v>
      </c>
      <c r="J19" s="488"/>
      <c r="K19" s="488"/>
      <c r="L19" s="488"/>
      <c r="M19" s="488">
        <v>7500</v>
      </c>
      <c r="N19" s="488"/>
      <c r="O19" s="488"/>
    </row>
    <row r="20" spans="1:18">
      <c r="A20" s="254" t="s">
        <v>6190</v>
      </c>
      <c r="B20" s="492" t="s">
        <v>6224</v>
      </c>
      <c r="C20" s="492"/>
      <c r="D20" s="488" t="s">
        <v>6225</v>
      </c>
      <c r="H20" s="488">
        <f>3000*6</f>
        <v>18000</v>
      </c>
      <c r="I20" s="488" t="s">
        <v>5794</v>
      </c>
      <c r="J20" s="488"/>
      <c r="K20" s="488"/>
      <c r="L20" s="488"/>
      <c r="M20" s="488">
        <v>22500</v>
      </c>
    </row>
    <row r="21" spans="1:18">
      <c r="A21" s="254"/>
      <c r="B21" s="492"/>
      <c r="C21" s="492"/>
      <c r="D21" s="488" t="s">
        <v>5175</v>
      </c>
      <c r="H21" s="488">
        <f>H20*6%</f>
        <v>1080</v>
      </c>
      <c r="I21" s="488" t="s">
        <v>5175</v>
      </c>
      <c r="J21" s="488"/>
      <c r="K21" s="488"/>
      <c r="L21" s="488"/>
      <c r="M21" s="488">
        <f>SUM(M19+M20)*6%</f>
        <v>1800</v>
      </c>
    </row>
    <row r="22" spans="1:18">
      <c r="A22" s="254"/>
      <c r="B22" s="492"/>
      <c r="C22" s="492"/>
      <c r="I22" s="488"/>
      <c r="J22" s="488"/>
      <c r="K22" s="488"/>
      <c r="L22" s="488"/>
      <c r="M22" s="488"/>
    </row>
    <row r="23" spans="1:18">
      <c r="A23" s="254" t="s">
        <v>6190</v>
      </c>
      <c r="B23" s="492" t="s">
        <v>6226</v>
      </c>
      <c r="C23" s="492"/>
      <c r="D23" s="488" t="s">
        <v>6227</v>
      </c>
      <c r="H23" s="488">
        <f>1500*6</f>
        <v>9000</v>
      </c>
      <c r="I23" s="488" t="s">
        <v>5771</v>
      </c>
      <c r="J23" s="488"/>
      <c r="K23" s="488"/>
      <c r="L23" s="488"/>
      <c r="M23" s="488">
        <v>24000</v>
      </c>
    </row>
    <row r="24" spans="1:18">
      <c r="A24" s="254"/>
      <c r="B24" s="141"/>
      <c r="D24" s="488" t="s">
        <v>5175</v>
      </c>
      <c r="H24" s="488">
        <f>H23*6%</f>
        <v>540</v>
      </c>
      <c r="I24" s="488" t="s">
        <v>5175</v>
      </c>
      <c r="J24" s="488"/>
      <c r="K24" s="488"/>
      <c r="L24" s="488"/>
      <c r="M24" s="488">
        <f>M23*6%</f>
        <v>1440</v>
      </c>
      <c r="N24" s="491" t="s">
        <v>5736</v>
      </c>
      <c r="O24" s="488"/>
      <c r="P24" s="488"/>
      <c r="Q24" s="488"/>
      <c r="R24" s="488"/>
    </row>
    <row r="25" spans="1:18">
      <c r="A25" s="254"/>
      <c r="B25" s="492"/>
      <c r="I25" s="488"/>
      <c r="J25" s="488"/>
      <c r="K25" s="488"/>
      <c r="L25" s="488"/>
      <c r="M25" s="488"/>
      <c r="N25" s="488"/>
      <c r="O25" s="488"/>
      <c r="P25" s="488"/>
      <c r="Q25" s="488"/>
      <c r="R25" s="488"/>
    </row>
    <row r="26" spans="1:18">
      <c r="A26" s="254"/>
      <c r="B26" s="492"/>
      <c r="D26" s="491"/>
      <c r="K26" s="254" t="s">
        <v>5758</v>
      </c>
      <c r="L26" s="492" t="s">
        <v>5772</v>
      </c>
      <c r="M26" s="488"/>
      <c r="N26" s="488" t="s">
        <v>5773</v>
      </c>
      <c r="O26" s="488"/>
      <c r="P26" s="488"/>
      <c r="Q26" s="488"/>
      <c r="R26" s="488">
        <f>3000*4</f>
        <v>12000</v>
      </c>
    </row>
    <row r="27" spans="1:18">
      <c r="A27" s="254"/>
      <c r="B27" s="492"/>
      <c r="K27" s="492"/>
      <c r="L27" s="141"/>
      <c r="M27" s="488"/>
      <c r="N27" s="488" t="s">
        <v>5774</v>
      </c>
      <c r="O27" s="488"/>
      <c r="P27" s="488"/>
      <c r="Q27" s="488"/>
      <c r="R27" s="488">
        <f>3000*6</f>
        <v>18000</v>
      </c>
    </row>
    <row r="28" spans="1:18">
      <c r="A28" s="492"/>
      <c r="B28" s="141"/>
      <c r="K28" s="492"/>
      <c r="L28" s="141"/>
      <c r="M28" s="488"/>
      <c r="N28" s="488"/>
      <c r="O28" s="488"/>
      <c r="P28" s="488"/>
      <c r="Q28" s="488"/>
      <c r="R28" s="488"/>
    </row>
    <row r="29" spans="1:18">
      <c r="A29" s="492"/>
      <c r="B29" s="141"/>
    </row>
    <row r="31" spans="1:18">
      <c r="A31" s="492"/>
      <c r="B31" s="141"/>
    </row>
    <row r="32" spans="1:18">
      <c r="A32" s="254"/>
      <c r="B32" s="492"/>
    </row>
    <row r="33" spans="1:8">
      <c r="A33" s="492"/>
      <c r="B33" s="141"/>
    </row>
    <row r="34" spans="1:8">
      <c r="A34" s="492"/>
      <c r="B34" s="492"/>
      <c r="C34" s="86"/>
    </row>
    <row r="35" spans="1:8">
      <c r="A35" s="177"/>
      <c r="H35" s="86"/>
    </row>
    <row r="36" spans="1:8" ht="13.5" thickBot="1">
      <c r="A36" s="177"/>
      <c r="H36" s="164">
        <f>SUM(H19:H34)</f>
        <v>28620</v>
      </c>
    </row>
    <row r="37" spans="1:8" ht="13.5" thickTop="1">
      <c r="A37" s="177"/>
    </row>
    <row r="38" spans="1:8" ht="20.100000000000001" customHeight="1">
      <c r="A38" s="138" t="s">
        <v>1686</v>
      </c>
      <c r="B38" s="204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Twenty-Eight Thousand Six Hundred Twenty and NO/100 -----------</v>
      </c>
      <c r="C38" s="204"/>
      <c r="D38" s="139"/>
      <c r="E38" s="139"/>
      <c r="F38" s="139"/>
      <c r="G38" s="139"/>
      <c r="H38" s="139"/>
    </row>
    <row r="39" spans="1:8">
      <c r="A39" s="140"/>
    </row>
    <row r="40" spans="1:8" ht="25.5">
      <c r="A40" s="488" t="s">
        <v>10</v>
      </c>
      <c r="F40" s="283" t="s">
        <v>2894</v>
      </c>
      <c r="G40" s="284"/>
      <c r="H40" s="285"/>
    </row>
    <row r="42" spans="1:8">
      <c r="F42" s="291"/>
      <c r="G42" s="291"/>
      <c r="H42" s="291"/>
    </row>
    <row r="43" spans="1:8">
      <c r="A43" s="488" t="s">
        <v>51</v>
      </c>
      <c r="D43" s="141"/>
      <c r="E43" s="141"/>
      <c r="F43" s="286"/>
      <c r="G43" s="287"/>
      <c r="H43" s="287"/>
    </row>
    <row r="44" spans="1:8">
      <c r="A44" s="104"/>
      <c r="B44" s="142"/>
    </row>
    <row r="46" spans="1:8">
      <c r="A46" s="488" t="s">
        <v>8</v>
      </c>
      <c r="D46" s="488" t="s">
        <v>8</v>
      </c>
      <c r="F46" s="493" t="s">
        <v>7</v>
      </c>
      <c r="H46" s="144"/>
    </row>
    <row r="50" spans="1:8">
      <c r="A50" s="142"/>
      <c r="B50" s="142"/>
      <c r="D50" s="142"/>
      <c r="F50" s="142"/>
      <c r="G50" s="142"/>
      <c r="H50" s="142"/>
    </row>
    <row r="51" spans="1:8" s="109" customFormat="1" ht="17.100000000000001" customHeight="1">
      <c r="A51" s="488" t="s">
        <v>2948</v>
      </c>
      <c r="B51" s="146"/>
      <c r="C51" s="146"/>
      <c r="D51" s="488" t="s">
        <v>103</v>
      </c>
      <c r="E51" s="490"/>
      <c r="F51" s="490" t="s">
        <v>3</v>
      </c>
      <c r="G51" s="490"/>
      <c r="H51" s="490"/>
    </row>
    <row r="52" spans="1:8">
      <c r="F52" s="488" t="s">
        <v>2</v>
      </c>
    </row>
    <row r="54" spans="1:8">
      <c r="F54" s="491" t="s">
        <v>1</v>
      </c>
    </row>
    <row r="55" spans="1:8">
      <c r="F55" s="491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Sheet258"/>
  <dimension ref="A1:F52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2.7109375" style="131" customWidth="1"/>
    <col min="5" max="5" width="10.1406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1766</v>
      </c>
      <c r="E9" s="147" t="s">
        <v>2278</v>
      </c>
    </row>
    <row r="10" spans="1:6">
      <c r="A10" s="131" t="s">
        <v>2280</v>
      </c>
      <c r="D10" s="132" t="s">
        <v>1124</v>
      </c>
      <c r="E10" s="212" t="s">
        <v>2275</v>
      </c>
    </row>
    <row r="11" spans="1:6">
      <c r="A11" s="131" t="s">
        <v>2281</v>
      </c>
      <c r="D11" s="132" t="s">
        <v>1125</v>
      </c>
      <c r="E11" s="212" t="s">
        <v>1094</v>
      </c>
    </row>
    <row r="12" spans="1:6">
      <c r="D12" s="132" t="s">
        <v>1096</v>
      </c>
      <c r="E12" s="212" t="s">
        <v>2279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6">
      <c r="A17" s="177"/>
    </row>
    <row r="18" spans="1:6">
      <c r="A18" s="158"/>
      <c r="B18" s="141"/>
      <c r="C18" s="110" t="s">
        <v>2276</v>
      </c>
    </row>
    <row r="19" spans="1:6">
      <c r="A19" s="158"/>
      <c r="B19" s="141"/>
    </row>
    <row r="20" spans="1:6">
      <c r="A20" s="158" t="s">
        <v>2277</v>
      </c>
      <c r="B20" s="158" t="s">
        <v>2282</v>
      </c>
      <c r="C20" s="131" t="s">
        <v>2283</v>
      </c>
      <c r="F20" s="131">
        <v>250</v>
      </c>
    </row>
    <row r="21" spans="1:6">
      <c r="C21" s="110"/>
    </row>
    <row r="22" spans="1:6">
      <c r="A22" s="158"/>
      <c r="B22" s="141"/>
      <c r="C22" s="110"/>
    </row>
    <row r="23" spans="1:6">
      <c r="A23" s="158"/>
      <c r="B23" s="141"/>
    </row>
    <row r="25" spans="1:6">
      <c r="A25" s="158"/>
      <c r="B25" s="141"/>
    </row>
    <row r="27" spans="1:6">
      <c r="A27" s="158"/>
      <c r="B27" s="141"/>
    </row>
    <row r="29" spans="1:6">
      <c r="A29" s="158"/>
      <c r="B29" s="141"/>
    </row>
    <row r="30" spans="1:6">
      <c r="A30" s="158"/>
      <c r="B30" s="141"/>
    </row>
    <row r="31" spans="1:6">
      <c r="A31" s="158"/>
      <c r="B31" s="141"/>
    </row>
    <row r="32" spans="1:6">
      <c r="A32" s="158"/>
    </row>
    <row r="33" spans="1:6" ht="13.5" thickBot="1">
      <c r="A33" s="158"/>
      <c r="F33" s="137">
        <f>SUM(F20:F32)</f>
        <v>250</v>
      </c>
    </row>
    <row r="34" spans="1:6" ht="13.5" thickTop="1">
      <c r="A34" s="177"/>
    </row>
    <row r="35" spans="1:6" ht="20.100000000000001" customHeight="1">
      <c r="A35" s="138" t="s">
        <v>1686</v>
      </c>
      <c r="B35" s="204" t="s">
        <v>1969</v>
      </c>
      <c r="C35" s="139"/>
      <c r="D35" s="139"/>
      <c r="E35" s="139"/>
      <c r="F35" s="139"/>
    </row>
    <row r="36" spans="1:6">
      <c r="A36" s="140"/>
    </row>
    <row r="37" spans="1:6">
      <c r="A37" s="131" t="s">
        <v>10</v>
      </c>
    </row>
    <row r="39" spans="1:6" ht="25.5">
      <c r="A39" s="147"/>
      <c r="D39" s="265" t="s">
        <v>2894</v>
      </c>
      <c r="E39" s="266"/>
      <c r="F39" s="267"/>
    </row>
    <row r="40" spans="1:6">
      <c r="A40" s="131" t="s">
        <v>51</v>
      </c>
      <c r="C40" s="141"/>
    </row>
    <row r="41" spans="1:6">
      <c r="A41" s="142"/>
      <c r="B41" s="142"/>
    </row>
    <row r="43" spans="1:6">
      <c r="A43" s="131" t="s">
        <v>8</v>
      </c>
      <c r="D43" s="143" t="s">
        <v>7</v>
      </c>
      <c r="F43" s="144"/>
    </row>
    <row r="47" spans="1:6">
      <c r="A47" s="142" t="s">
        <v>51</v>
      </c>
      <c r="B47" s="142"/>
      <c r="D47" s="142"/>
      <c r="E47" s="142"/>
      <c r="F47" s="142"/>
    </row>
    <row r="48" spans="1:6" s="147" customFormat="1" ht="17.100000000000001" customHeight="1">
      <c r="A48" s="147" t="s">
        <v>4</v>
      </c>
      <c r="B48" s="146"/>
      <c r="D48" s="147" t="s">
        <v>3</v>
      </c>
    </row>
    <row r="49" spans="1:4">
      <c r="D49" s="131" t="s">
        <v>2</v>
      </c>
    </row>
    <row r="50" spans="1:4">
      <c r="A50" s="145" t="s">
        <v>2948</v>
      </c>
    </row>
    <row r="51" spans="1:4">
      <c r="D51" s="110" t="s">
        <v>1</v>
      </c>
    </row>
    <row r="52" spans="1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59055118110236227" bottom="0.78740157480314965" header="0.51181102362204722" footer="0.51181102362204722"/>
  <pageSetup paperSize="9" scale="95" orientation="portrait" r:id="rId1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Sheet198">
    <pageSetUpPr fitToPage="1"/>
  </sheetPr>
  <dimension ref="A1:N52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42578125" style="111" customWidth="1"/>
    <col min="2" max="2" width="15" style="111" customWidth="1"/>
    <col min="3" max="3" width="0.7109375" style="111" customWidth="1"/>
    <col min="4" max="4" width="21" style="111" customWidth="1"/>
    <col min="5" max="5" width="0.42578125" style="111" customWidth="1"/>
    <col min="6" max="6" width="12.28515625" style="111" customWidth="1"/>
    <col min="7" max="7" width="9.28515625" style="111" customWidth="1"/>
    <col min="8" max="8" width="13.28515625" style="111" customWidth="1"/>
    <col min="9" max="16384" width="9.140625" style="111"/>
  </cols>
  <sheetData>
    <row r="1" spans="1:14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4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4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4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4">
      <c r="A8" s="111" t="s">
        <v>24</v>
      </c>
      <c r="F8" s="22" t="s">
        <v>23</v>
      </c>
    </row>
    <row r="9" spans="1:14">
      <c r="F9" s="112" t="s">
        <v>1716</v>
      </c>
      <c r="G9" s="489" t="s">
        <v>6931</v>
      </c>
    </row>
    <row r="10" spans="1:14">
      <c r="A10" s="111" t="s">
        <v>1719</v>
      </c>
      <c r="F10" s="112" t="s">
        <v>1162</v>
      </c>
      <c r="G10" s="489" t="s">
        <v>6930</v>
      </c>
    </row>
    <row r="11" spans="1:14">
      <c r="A11" s="111" t="s">
        <v>2390</v>
      </c>
      <c r="F11" s="112" t="s">
        <v>1163</v>
      </c>
      <c r="G11" s="489" t="s">
        <v>1094</v>
      </c>
    </row>
    <row r="12" spans="1:14">
      <c r="A12" s="111" t="s">
        <v>1365</v>
      </c>
      <c r="F12" s="112" t="s">
        <v>1096</v>
      </c>
      <c r="G12" s="486" t="s">
        <v>6932</v>
      </c>
    </row>
    <row r="13" spans="1:14">
      <c r="A13" s="111" t="s">
        <v>1720</v>
      </c>
      <c r="G13" s="483" t="s">
        <v>6182</v>
      </c>
    </row>
    <row r="14" spans="1:14">
      <c r="A14" s="111" t="s">
        <v>1721</v>
      </c>
      <c r="J14" s="2" t="s">
        <v>1718</v>
      </c>
      <c r="K14" s="2"/>
    </row>
    <row r="16" spans="1:14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  <c r="J16" s="111" t="s">
        <v>1722</v>
      </c>
      <c r="K16" s="111"/>
      <c r="L16" s="111"/>
      <c r="M16" s="111"/>
      <c r="N16" s="111">
        <f>60*9</f>
        <v>540</v>
      </c>
    </row>
    <row r="17" spans="1:10">
      <c r="J17" s="111" t="s">
        <v>3710</v>
      </c>
    </row>
    <row r="18" spans="1:10">
      <c r="D18" s="2" t="s">
        <v>1718</v>
      </c>
      <c r="E18" s="2"/>
      <c r="J18" s="111" t="s">
        <v>5915</v>
      </c>
    </row>
    <row r="19" spans="1:10">
      <c r="A19" s="116"/>
      <c r="B19" s="116"/>
      <c r="C19" s="116"/>
    </row>
    <row r="20" spans="1:10">
      <c r="A20" s="485" t="s">
        <v>6933</v>
      </c>
      <c r="B20" s="485" t="s">
        <v>6934</v>
      </c>
      <c r="C20" s="116"/>
      <c r="D20" s="483" t="s">
        <v>1722</v>
      </c>
      <c r="H20" s="111">
        <f>60*9</f>
        <v>540</v>
      </c>
    </row>
    <row r="21" spans="1:10">
      <c r="D21" s="483" t="s">
        <v>3710</v>
      </c>
    </row>
    <row r="22" spans="1:10">
      <c r="D22" s="483" t="s">
        <v>6725</v>
      </c>
    </row>
    <row r="29" spans="1:10">
      <c r="H29" s="2"/>
    </row>
    <row r="30" spans="1:10">
      <c r="B30" s="120"/>
      <c r="C30" s="120"/>
    </row>
    <row r="31" spans="1:10">
      <c r="B31" s="120"/>
      <c r="C31" s="120"/>
    </row>
    <row r="33" spans="1:8" ht="13.5" thickBot="1">
      <c r="H33" s="127">
        <f>SUM(H18:H32)</f>
        <v>540</v>
      </c>
    </row>
    <row r="34" spans="1:8" ht="13.5" thickTop="1"/>
    <row r="35" spans="1:8" ht="20.100000000000001" customHeight="1">
      <c r="A35" s="118" t="s">
        <v>1717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Five Hundred Forty and NO/100 -----------</v>
      </c>
      <c r="C35" s="202"/>
      <c r="D35" s="119"/>
      <c r="E35" s="119"/>
      <c r="F35" s="119"/>
      <c r="G35" s="119"/>
      <c r="H35" s="261"/>
    </row>
    <row r="36" spans="1:8">
      <c r="A36" s="120"/>
    </row>
    <row r="37" spans="1:8" ht="25.5">
      <c r="A37" s="123" t="s">
        <v>10</v>
      </c>
      <c r="F37" s="265" t="s">
        <v>2894</v>
      </c>
      <c r="G37" s="266"/>
      <c r="H37" s="267"/>
    </row>
    <row r="38" spans="1:8">
      <c r="A38" s="123"/>
    </row>
    <row r="39" spans="1:8">
      <c r="A39" s="126"/>
    </row>
    <row r="40" spans="1:8">
      <c r="A40" s="123"/>
      <c r="D40" s="121"/>
      <c r="E40" s="121"/>
    </row>
    <row r="41" spans="1:8">
      <c r="A41" s="150"/>
      <c r="B41" s="122"/>
      <c r="C41" s="433"/>
    </row>
    <row r="42" spans="1:8">
      <c r="A42" s="123"/>
    </row>
    <row r="43" spans="1:8">
      <c r="A43" s="123" t="s">
        <v>8</v>
      </c>
      <c r="D43" s="123" t="s">
        <v>8</v>
      </c>
      <c r="F43" s="123" t="s">
        <v>7</v>
      </c>
      <c r="H43" s="124"/>
    </row>
    <row r="44" spans="1:8">
      <c r="A44" s="123"/>
      <c r="D44" s="123"/>
    </row>
    <row r="45" spans="1:8">
      <c r="A45" s="123"/>
      <c r="D45" s="123"/>
    </row>
    <row r="46" spans="1:8">
      <c r="A46" s="123"/>
      <c r="D46" s="123"/>
    </row>
    <row r="47" spans="1:8">
      <c r="A47" s="150"/>
      <c r="B47" s="122"/>
      <c r="C47" s="433"/>
      <c r="D47" s="150"/>
      <c r="F47" s="122"/>
      <c r="G47" s="122"/>
      <c r="H47" s="122"/>
    </row>
    <row r="48" spans="1:8" s="126" customFormat="1" ht="17.100000000000001" customHeight="1">
      <c r="A48" s="151" t="s">
        <v>2948</v>
      </c>
      <c r="B48" s="125"/>
      <c r="C48" s="125"/>
      <c r="D48" s="151" t="s">
        <v>103</v>
      </c>
      <c r="F48" s="126" t="s">
        <v>3</v>
      </c>
    </row>
    <row r="49" spans="1:6">
      <c r="A49" s="123"/>
      <c r="F49" s="111" t="s">
        <v>2</v>
      </c>
    </row>
    <row r="50" spans="1:6">
      <c r="A50" s="151"/>
    </row>
    <row r="51" spans="1:6">
      <c r="F51" s="2" t="s">
        <v>1</v>
      </c>
    </row>
    <row r="52" spans="1:6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Sheet272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15.42578125" style="111" customWidth="1"/>
    <col min="2" max="2" width="15" style="111" customWidth="1"/>
    <col min="3" max="3" width="21" style="111" customWidth="1"/>
    <col min="4" max="4" width="12.28515625" style="111" customWidth="1"/>
    <col min="5" max="5" width="9.28515625" style="111" customWidth="1"/>
    <col min="6" max="6" width="13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1716</v>
      </c>
      <c r="E9" s="111" t="s">
        <v>4531</v>
      </c>
    </row>
    <row r="10" spans="1:6">
      <c r="A10" s="111" t="s">
        <v>1719</v>
      </c>
      <c r="D10" s="112" t="s">
        <v>1162</v>
      </c>
      <c r="E10" s="111" t="s">
        <v>4529</v>
      </c>
    </row>
    <row r="11" spans="1:6">
      <c r="A11" s="111" t="s">
        <v>2390</v>
      </c>
      <c r="D11" s="112" t="s">
        <v>1163</v>
      </c>
      <c r="E11" s="111" t="s">
        <v>1094</v>
      </c>
    </row>
    <row r="12" spans="1:6">
      <c r="A12" s="111" t="s">
        <v>1365</v>
      </c>
      <c r="D12" s="112" t="s">
        <v>1096</v>
      </c>
      <c r="E12" s="111" t="s">
        <v>4532</v>
      </c>
    </row>
    <row r="13" spans="1:6">
      <c r="A13" s="111" t="s">
        <v>1720</v>
      </c>
    </row>
    <row r="14" spans="1:6">
      <c r="A14" s="111" t="s">
        <v>1721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8" spans="1:6">
      <c r="C18" s="2" t="s">
        <v>2391</v>
      </c>
    </row>
    <row r="19" spans="1:6">
      <c r="A19" s="116"/>
      <c r="B19" s="116"/>
    </row>
    <row r="20" spans="1:6">
      <c r="A20" s="116" t="s">
        <v>11</v>
      </c>
      <c r="B20" s="116"/>
      <c r="C20" s="111" t="s">
        <v>2393</v>
      </c>
      <c r="F20" s="111">
        <v>150</v>
      </c>
    </row>
    <row r="22" spans="1:6">
      <c r="C22" s="111" t="s">
        <v>2392</v>
      </c>
      <c r="F22" s="111">
        <v>120</v>
      </c>
    </row>
    <row r="24" spans="1:6">
      <c r="C24" s="111" t="s">
        <v>2394</v>
      </c>
      <c r="F24" s="111">
        <v>150</v>
      </c>
    </row>
    <row r="26" spans="1:6">
      <c r="C26" s="111" t="s">
        <v>2395</v>
      </c>
      <c r="F26" s="111">
        <v>900</v>
      </c>
    </row>
    <row r="27" spans="1:6">
      <c r="F27" s="2"/>
    </row>
    <row r="28" spans="1:6">
      <c r="B28" s="120"/>
    </row>
    <row r="29" spans="1:6">
      <c r="B29" s="120"/>
    </row>
    <row r="31" spans="1:6" ht="13.5" thickBot="1">
      <c r="F31" s="127">
        <f>SUM(F18:F30)</f>
        <v>1320</v>
      </c>
    </row>
    <row r="32" spans="1:6" ht="13.5" thickTop="1"/>
    <row r="33" spans="1:6" ht="20.100000000000001" customHeight="1" thickBot="1">
      <c r="A33" s="118" t="s">
        <v>1717</v>
      </c>
      <c r="B33" s="118" t="s">
        <v>2396</v>
      </c>
      <c r="C33" s="119"/>
      <c r="D33" s="119"/>
      <c r="E33" s="119"/>
      <c r="F33" s="117">
        <f>SUM(F20:F32)</f>
        <v>2640</v>
      </c>
    </row>
    <row r="34" spans="1:6" ht="13.5" thickTop="1">
      <c r="A34" s="120"/>
    </row>
    <row r="35" spans="1:6">
      <c r="A35" s="123" t="s">
        <v>10</v>
      </c>
    </row>
    <row r="36" spans="1:6">
      <c r="A36" s="123"/>
    </row>
    <row r="37" spans="1:6">
      <c r="A37" s="123"/>
    </row>
    <row r="38" spans="1:6">
      <c r="A38" s="123"/>
      <c r="C38" s="121"/>
    </row>
    <row r="39" spans="1:6" ht="25.5">
      <c r="A39" s="270"/>
      <c r="B39" s="122"/>
      <c r="D39" s="265" t="s">
        <v>2894</v>
      </c>
      <c r="E39" s="266"/>
      <c r="F39" s="267"/>
    </row>
    <row r="40" spans="1:6">
      <c r="A40" s="123"/>
    </row>
    <row r="41" spans="1:6">
      <c r="A41" s="123" t="s">
        <v>8</v>
      </c>
      <c r="D41" s="123" t="s">
        <v>7</v>
      </c>
      <c r="F41" s="124"/>
    </row>
    <row r="42" spans="1:6">
      <c r="A42" s="123"/>
    </row>
    <row r="43" spans="1:6">
      <c r="A43" s="123"/>
    </row>
    <row r="44" spans="1:6">
      <c r="A44" s="123"/>
    </row>
    <row r="45" spans="1:6">
      <c r="A45" s="150"/>
      <c r="B45" s="122"/>
      <c r="D45" s="122"/>
      <c r="E45" s="122"/>
      <c r="F45" s="122"/>
    </row>
    <row r="46" spans="1:6" s="126" customFormat="1" ht="17.100000000000001" customHeight="1">
      <c r="A46" s="151" t="s">
        <v>4</v>
      </c>
      <c r="B46" s="125"/>
      <c r="D46" s="126" t="s">
        <v>3</v>
      </c>
    </row>
    <row r="47" spans="1:6">
      <c r="A47" s="123"/>
      <c r="D47" s="111" t="s">
        <v>2</v>
      </c>
    </row>
    <row r="48" spans="1:6">
      <c r="A48" s="123"/>
    </row>
    <row r="49" spans="1:4">
      <c r="D49" s="2" t="s">
        <v>1</v>
      </c>
    </row>
    <row r="50" spans="1:4">
      <c r="A50" s="151" t="s">
        <v>2948</v>
      </c>
      <c r="D50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192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2024</v>
      </c>
      <c r="F9" s="111"/>
    </row>
    <row r="10" spans="1:6">
      <c r="A10" s="111" t="s">
        <v>1675</v>
      </c>
      <c r="B10" s="111"/>
      <c r="C10" s="111"/>
      <c r="D10" s="112" t="s">
        <v>1162</v>
      </c>
      <c r="E10" s="123" t="s">
        <v>2022</v>
      </c>
      <c r="F10" s="111"/>
    </row>
    <row r="11" spans="1:6">
      <c r="A11" s="111" t="s">
        <v>1676</v>
      </c>
      <c r="B11" s="111"/>
      <c r="C11" s="111"/>
      <c r="D11" s="112" t="s">
        <v>1163</v>
      </c>
      <c r="E11" s="112" t="s">
        <v>2023</v>
      </c>
      <c r="F11" s="111"/>
    </row>
    <row r="12" spans="1:6">
      <c r="A12" s="111" t="s">
        <v>1677</v>
      </c>
      <c r="B12" s="111"/>
      <c r="C12" s="111"/>
      <c r="D12" s="112" t="s">
        <v>1135</v>
      </c>
      <c r="E12" s="112" t="s">
        <v>2025</v>
      </c>
      <c r="F12" s="111"/>
    </row>
    <row r="13" spans="1:6">
      <c r="A13" s="111" t="s">
        <v>1657</v>
      </c>
      <c r="B13" s="111"/>
      <c r="C13" s="111"/>
      <c r="D13" s="111"/>
      <c r="E13" s="111"/>
      <c r="F13" s="111"/>
    </row>
    <row r="14" spans="1:6">
      <c r="A14" s="111" t="s">
        <v>1678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6" t="s">
        <v>2026</v>
      </c>
      <c r="B18" s="116" t="s">
        <v>2027</v>
      </c>
      <c r="C18" s="111" t="s">
        <v>2028</v>
      </c>
      <c r="D18" s="111"/>
      <c r="E18" s="111"/>
      <c r="F18" s="111">
        <v>140</v>
      </c>
    </row>
    <row r="19" spans="1:6">
      <c r="A19" s="116"/>
      <c r="B19" s="116"/>
      <c r="C19" s="111" t="s">
        <v>2029</v>
      </c>
      <c r="D19" s="111"/>
      <c r="E19" s="111"/>
      <c r="F19" s="111"/>
    </row>
    <row r="20" spans="1:6">
      <c r="A20" s="111"/>
      <c r="B20" s="111"/>
      <c r="C20" s="111" t="s">
        <v>2030</v>
      </c>
      <c r="D20" s="111"/>
      <c r="E20" s="111"/>
      <c r="F20" s="111"/>
    </row>
    <row r="21" spans="1:6">
      <c r="A21" s="111"/>
      <c r="B21" s="111"/>
      <c r="C21" s="111"/>
      <c r="D21" s="111"/>
      <c r="E21" s="111"/>
      <c r="F21" s="111"/>
    </row>
    <row r="22" spans="1:6">
      <c r="A22" s="116" t="s">
        <v>2031</v>
      </c>
      <c r="B22" s="116" t="s">
        <v>2032</v>
      </c>
      <c r="C22" s="111" t="s">
        <v>2033</v>
      </c>
      <c r="D22" s="111"/>
      <c r="E22" s="111"/>
      <c r="F22" s="111">
        <f>1890*3</f>
        <v>5670</v>
      </c>
    </row>
    <row r="23" spans="1:6">
      <c r="A23" s="111"/>
      <c r="B23" s="111"/>
      <c r="C23" s="111" t="s">
        <v>2034</v>
      </c>
      <c r="D23" s="111"/>
      <c r="E23" s="111"/>
      <c r="F23" s="111"/>
    </row>
    <row r="24" spans="1:6">
      <c r="A24" s="111"/>
      <c r="B24" s="111"/>
      <c r="C24" s="111"/>
      <c r="D24" s="111"/>
      <c r="E24" s="111"/>
      <c r="F24" s="111"/>
    </row>
    <row r="25" spans="1:6">
      <c r="A25" s="111"/>
      <c r="B25" s="111"/>
      <c r="C25" s="111" t="s">
        <v>2035</v>
      </c>
      <c r="D25" s="111"/>
      <c r="E25" s="111"/>
      <c r="F25" s="111">
        <f>450*3</f>
        <v>1350</v>
      </c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  <c r="C27" s="111" t="s">
        <v>2036</v>
      </c>
      <c r="D27" s="111"/>
      <c r="E27" s="111"/>
      <c r="F27" s="111">
        <v>30</v>
      </c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7050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2037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Sheet159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 t="s">
        <v>1420</v>
      </c>
      <c r="B9" s="111"/>
      <c r="C9" s="111"/>
      <c r="D9" s="112" t="s">
        <v>1127</v>
      </c>
      <c r="E9" s="111" t="s">
        <v>1418</v>
      </c>
      <c r="F9" s="111"/>
    </row>
    <row r="10" spans="1:6">
      <c r="A10" s="111" t="s">
        <v>1421</v>
      </c>
      <c r="B10" s="111"/>
      <c r="C10" s="111"/>
      <c r="D10" s="112" t="s">
        <v>1162</v>
      </c>
      <c r="E10" s="112" t="s">
        <v>1419</v>
      </c>
      <c r="F10" s="111"/>
    </row>
    <row r="11" spans="1:6">
      <c r="A11" s="111" t="s">
        <v>1422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1423</v>
      </c>
      <c r="B12" s="111"/>
      <c r="C12" s="111"/>
      <c r="D12" s="112" t="s">
        <v>1135</v>
      </c>
      <c r="E12" s="112" t="s">
        <v>1270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C18" s="2" t="s">
        <v>1426</v>
      </c>
      <c r="D18" s="111"/>
      <c r="E18" s="111"/>
      <c r="F18" s="111"/>
    </row>
    <row r="19" spans="1:6">
      <c r="C19" s="2" t="s">
        <v>1427</v>
      </c>
    </row>
    <row r="20" spans="1:6">
      <c r="A20" s="116"/>
      <c r="B20" s="116"/>
      <c r="C20" s="111"/>
      <c r="D20" s="111"/>
      <c r="E20" s="111"/>
      <c r="F20" s="111"/>
    </row>
    <row r="21" spans="1:6">
      <c r="A21" s="116" t="s">
        <v>1424</v>
      </c>
      <c r="B21" s="116" t="s">
        <v>1425</v>
      </c>
      <c r="C21" s="120" t="s">
        <v>804</v>
      </c>
      <c r="D21" s="111"/>
      <c r="E21" s="111"/>
      <c r="F21" s="111">
        <f>51.9*4*3.198</f>
        <v>663.90480000000002</v>
      </c>
    </row>
    <row r="22" spans="1:6">
      <c r="A22" s="116"/>
      <c r="B22" s="120"/>
      <c r="C22" s="111" t="s">
        <v>1428</v>
      </c>
    </row>
    <row r="23" spans="1:6">
      <c r="A23" s="116"/>
      <c r="B23" s="120"/>
      <c r="D23" s="111"/>
      <c r="E23" s="111"/>
      <c r="F23" s="111"/>
    </row>
    <row r="24" spans="1:6">
      <c r="A24" s="116"/>
      <c r="B24" s="120"/>
      <c r="C24" s="111" t="s">
        <v>1429</v>
      </c>
      <c r="D24" s="111"/>
      <c r="E24" s="111"/>
      <c r="F24" s="111">
        <f>22.23*9*3.198</f>
        <v>639.82385999999997</v>
      </c>
    </row>
    <row r="25" spans="1:6">
      <c r="A25" s="116"/>
      <c r="B25" s="120"/>
      <c r="D25" s="111"/>
      <c r="E25" s="111"/>
      <c r="F25" s="111"/>
    </row>
    <row r="26" spans="1:6">
      <c r="A26" s="116"/>
      <c r="B26" s="120"/>
      <c r="C26" s="111" t="s">
        <v>1271</v>
      </c>
      <c r="D26" s="111"/>
      <c r="E26" s="111"/>
      <c r="F26" s="111">
        <v>30</v>
      </c>
    </row>
    <row r="27" spans="1:6">
      <c r="A27" s="116"/>
      <c r="B27" s="120"/>
      <c r="C27" s="111"/>
      <c r="D27" s="111"/>
      <c r="E27" s="111"/>
      <c r="F27" s="111"/>
    </row>
    <row r="28" spans="1:6">
      <c r="A28" s="116"/>
      <c r="B28" s="120"/>
      <c r="C28" s="111"/>
      <c r="D28" s="111"/>
      <c r="E28" s="111"/>
      <c r="F28" s="111"/>
    </row>
    <row r="29" spans="1:6">
      <c r="A29" s="116"/>
      <c r="B29" s="120"/>
      <c r="C29" s="111"/>
      <c r="D29" s="111"/>
      <c r="E29" s="111"/>
      <c r="F29" s="111"/>
    </row>
    <row r="30" spans="1:6">
      <c r="A30" s="116"/>
      <c r="B30" s="120"/>
      <c r="C30" s="111"/>
      <c r="D30" s="111"/>
      <c r="E30" s="111"/>
      <c r="F30" s="111"/>
    </row>
    <row r="31" spans="1:6">
      <c r="A31" s="116"/>
      <c r="B31" s="120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1333.72866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1430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B42" s="111"/>
      <c r="C42" s="111"/>
      <c r="D42" s="111"/>
      <c r="E42" s="111"/>
      <c r="F42" s="111"/>
    </row>
    <row r="43" spans="1:6">
      <c r="A43" s="123" t="s">
        <v>8</v>
      </c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Sheet129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28515625" style="111" customWidth="1"/>
    <col min="2" max="2" width="14.42578125" style="111" customWidth="1"/>
    <col min="3" max="3" width="22.42578125" style="111" customWidth="1"/>
    <col min="4" max="4" width="13.140625" style="111" customWidth="1"/>
    <col min="5" max="5" width="8.855468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1380</v>
      </c>
    </row>
    <row r="10" spans="1:6">
      <c r="A10" s="111" t="s">
        <v>1382</v>
      </c>
      <c r="D10" s="112" t="s">
        <v>1180</v>
      </c>
      <c r="E10" s="166" t="s">
        <v>1379</v>
      </c>
    </row>
    <row r="11" spans="1:6">
      <c r="A11" s="111" t="s">
        <v>1383</v>
      </c>
      <c r="D11" s="112" t="s">
        <v>1181</v>
      </c>
      <c r="E11" s="112" t="s">
        <v>1094</v>
      </c>
    </row>
    <row r="12" spans="1:6">
      <c r="A12" s="111" t="s">
        <v>1384</v>
      </c>
      <c r="D12" s="112" t="s">
        <v>1182</v>
      </c>
      <c r="E12" s="112" t="s">
        <v>1381</v>
      </c>
    </row>
    <row r="13" spans="1:6">
      <c r="A13" s="111" t="s">
        <v>1385</v>
      </c>
    </row>
    <row r="14" spans="1:6">
      <c r="A14" s="111" t="s">
        <v>1386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8" spans="1:6">
      <c r="A18" s="148"/>
      <c r="C18" s="2"/>
    </row>
    <row r="19" spans="1:6">
      <c r="A19" s="161" t="s">
        <v>1376</v>
      </c>
      <c r="B19" s="116" t="s">
        <v>1387</v>
      </c>
      <c r="C19" s="111" t="s">
        <v>1388</v>
      </c>
      <c r="F19" s="111">
        <f>500*3.5</f>
        <v>1750</v>
      </c>
    </row>
    <row r="20" spans="1:6">
      <c r="A20" s="115"/>
      <c r="C20" s="111" t="s">
        <v>1389</v>
      </c>
    </row>
    <row r="21" spans="1:6">
      <c r="A21" s="112"/>
      <c r="B21" s="161"/>
      <c r="F21" s="149"/>
    </row>
    <row r="22" spans="1:6">
      <c r="A22" s="148"/>
      <c r="F22" s="149"/>
    </row>
    <row r="23" spans="1:6">
      <c r="A23" s="148"/>
      <c r="B23" s="157"/>
      <c r="F23" s="149"/>
    </row>
    <row r="24" spans="1:6">
      <c r="A24" s="148"/>
      <c r="B24" s="157"/>
      <c r="F24" s="149"/>
    </row>
    <row r="25" spans="1:6">
      <c r="A25" s="148"/>
      <c r="B25" s="157"/>
      <c r="F25" s="149"/>
    </row>
    <row r="26" spans="1:6">
      <c r="A26" s="148"/>
      <c r="B26" s="120"/>
    </row>
    <row r="27" spans="1:6">
      <c r="A27" s="148"/>
    </row>
    <row r="28" spans="1:6">
      <c r="A28" s="148"/>
    </row>
    <row r="33" spans="1:6" ht="13.5" thickBot="1">
      <c r="F33" s="127">
        <f>SUM(F20:F32)</f>
        <v>0</v>
      </c>
    </row>
    <row r="34" spans="1:6" ht="13.5" thickTop="1"/>
    <row r="35" spans="1:6" ht="20.100000000000001" customHeight="1">
      <c r="A35" s="118" t="s">
        <v>204</v>
      </c>
      <c r="B35" s="118" t="s">
        <v>1390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Sheet130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42578125" style="111" customWidth="1"/>
    <col min="2" max="2" width="13.5703125" style="111" customWidth="1"/>
    <col min="3" max="3" width="22.42578125" style="111" customWidth="1"/>
    <col min="4" max="4" width="12.140625" style="111" customWidth="1"/>
    <col min="5" max="5" width="10.71093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1221</v>
      </c>
      <c r="E9" s="126" t="s">
        <v>1633</v>
      </c>
    </row>
    <row r="10" spans="1:6">
      <c r="A10" s="111" t="s">
        <v>1333</v>
      </c>
      <c r="D10" s="112" t="s">
        <v>1124</v>
      </c>
      <c r="E10" s="160" t="s">
        <v>1624</v>
      </c>
    </row>
    <row r="11" spans="1:6">
      <c r="A11" s="111" t="s">
        <v>1334</v>
      </c>
      <c r="D11" s="112" t="s">
        <v>1125</v>
      </c>
      <c r="E11" s="160" t="s">
        <v>1094</v>
      </c>
    </row>
    <row r="12" spans="1:6">
      <c r="A12" s="111" t="s">
        <v>1335</v>
      </c>
      <c r="D12" s="112" t="s">
        <v>1126</v>
      </c>
      <c r="E12" s="160" t="s">
        <v>1634</v>
      </c>
    </row>
    <row r="13" spans="1:6">
      <c r="A13" s="111" t="s">
        <v>1336</v>
      </c>
    </row>
    <row r="14" spans="1:6">
      <c r="A14" s="111" t="s">
        <v>1337</v>
      </c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48"/>
      <c r="C18" s="2" t="s">
        <v>1631</v>
      </c>
    </row>
    <row r="19" spans="1:6">
      <c r="C19" s="2" t="s">
        <v>1632</v>
      </c>
    </row>
    <row r="21" spans="1:6">
      <c r="A21" s="161" t="s">
        <v>1635</v>
      </c>
      <c r="B21" s="121" t="s">
        <v>1636</v>
      </c>
      <c r="C21" s="111" t="s">
        <v>1637</v>
      </c>
      <c r="F21" s="149"/>
    </row>
    <row r="22" spans="1:6">
      <c r="A22" s="148"/>
      <c r="F22" s="149"/>
    </row>
    <row r="23" spans="1:6">
      <c r="A23" s="148"/>
      <c r="C23" s="111" t="s">
        <v>1638</v>
      </c>
      <c r="F23" s="149"/>
    </row>
    <row r="24" spans="1:6">
      <c r="A24" s="148"/>
      <c r="B24" s="120"/>
      <c r="C24" s="111" t="s">
        <v>1639</v>
      </c>
      <c r="F24" s="149">
        <v>120</v>
      </c>
    </row>
    <row r="25" spans="1:6">
      <c r="A25" s="148"/>
      <c r="B25" s="120"/>
      <c r="C25" s="111" t="s">
        <v>1640</v>
      </c>
      <c r="F25" s="149">
        <v>270</v>
      </c>
    </row>
    <row r="26" spans="1:6">
      <c r="A26" s="148"/>
      <c r="B26" s="120"/>
      <c r="C26" s="111" t="s">
        <v>1641</v>
      </c>
      <c r="F26" s="111">
        <v>260</v>
      </c>
    </row>
    <row r="27" spans="1:6">
      <c r="A27" s="148"/>
      <c r="C27" s="111" t="s">
        <v>1642</v>
      </c>
      <c r="F27" s="111">
        <v>100</v>
      </c>
    </row>
    <row r="28" spans="1:6">
      <c r="A28" s="148"/>
    </row>
    <row r="29" spans="1:6">
      <c r="C29" s="111" t="s">
        <v>1643</v>
      </c>
      <c r="F29" s="111">
        <v>110</v>
      </c>
    </row>
    <row r="33" spans="1:6" ht="13.5" thickBot="1">
      <c r="F33" s="127">
        <f>SUM(F20:F32)</f>
        <v>860</v>
      </c>
    </row>
    <row r="34" spans="1:6" ht="13.5" thickTop="1"/>
    <row r="35" spans="1:6" ht="20.100000000000001" customHeight="1">
      <c r="A35" s="118" t="s">
        <v>204</v>
      </c>
      <c r="B35" s="118" t="s">
        <v>1644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Sheet73">
    <pageSetUpPr fitToPage="1"/>
  </sheetPr>
  <dimension ref="A1:G54"/>
  <sheetViews>
    <sheetView workbookViewId="0">
      <selection activeCell="G9" sqref="G9:G13"/>
    </sheetView>
  </sheetViews>
  <sheetFormatPr defaultRowHeight="12.75"/>
  <cols>
    <col min="1" max="1" width="14.140625" style="1" customWidth="1"/>
    <col min="2" max="2" width="13.42578125" style="1" customWidth="1"/>
    <col min="3" max="3" width="1" style="1" customWidth="1"/>
    <col min="4" max="4" width="29" style="1" customWidth="1"/>
    <col min="5" max="5" width="1.42578125" style="1" customWidth="1"/>
    <col min="6" max="6" width="14.140625" style="1" customWidth="1"/>
    <col min="7" max="7" width="13.7109375" style="1" bestFit="1" customWidth="1"/>
    <col min="8" max="16384" width="9.140625" style="1"/>
  </cols>
  <sheetData>
    <row r="1" spans="1:7" ht="15">
      <c r="A1" s="528" t="s">
        <v>26</v>
      </c>
      <c r="B1" s="528"/>
      <c r="C1" s="528"/>
      <c r="D1" s="528"/>
      <c r="E1" s="528"/>
      <c r="F1" s="528"/>
      <c r="G1" s="528"/>
    </row>
    <row r="2" spans="1:7">
      <c r="A2" s="529" t="s">
        <v>25</v>
      </c>
      <c r="B2" s="529"/>
      <c r="C2" s="529"/>
      <c r="D2" s="529"/>
      <c r="E2" s="529"/>
      <c r="F2" s="529"/>
      <c r="G2" s="529"/>
    </row>
    <row r="3" spans="1:7">
      <c r="A3" s="529" t="s">
        <v>1480</v>
      </c>
      <c r="B3" s="529"/>
      <c r="C3" s="529"/>
      <c r="D3" s="529"/>
      <c r="E3" s="529"/>
      <c r="F3" s="529"/>
      <c r="G3" s="529"/>
    </row>
    <row r="4" spans="1:7">
      <c r="A4" s="529" t="s">
        <v>1481</v>
      </c>
      <c r="B4" s="529"/>
      <c r="C4" s="529"/>
      <c r="D4" s="529"/>
      <c r="E4" s="529"/>
      <c r="F4" s="529"/>
      <c r="G4" s="529"/>
    </row>
    <row r="7" spans="1:7" s="111" customFormat="1">
      <c r="A7" s="111" t="s">
        <v>24</v>
      </c>
      <c r="F7" s="22" t="s">
        <v>23</v>
      </c>
    </row>
    <row r="8" spans="1:7" s="111" customFormat="1">
      <c r="F8" s="112" t="s">
        <v>1134</v>
      </c>
      <c r="G8" s="131" t="s">
        <v>3948</v>
      </c>
    </row>
    <row r="9" spans="1:7" s="111" customFormat="1">
      <c r="A9" s="111" t="s">
        <v>3910</v>
      </c>
      <c r="F9" s="112" t="s">
        <v>1180</v>
      </c>
      <c r="G9" s="143" t="s">
        <v>3941</v>
      </c>
    </row>
    <row r="10" spans="1:7" s="111" customFormat="1">
      <c r="A10" s="111" t="s">
        <v>3911</v>
      </c>
      <c r="F10" s="112" t="s">
        <v>3916</v>
      </c>
      <c r="G10" s="132" t="s">
        <v>1094</v>
      </c>
    </row>
    <row r="11" spans="1:7" s="111" customFormat="1">
      <c r="A11" s="111" t="s">
        <v>2099</v>
      </c>
      <c r="F11" s="112" t="s">
        <v>1182</v>
      </c>
      <c r="G11" s="140" t="s">
        <v>3949</v>
      </c>
    </row>
    <row r="12" spans="1:7" s="111" customFormat="1">
      <c r="A12" s="111" t="s">
        <v>1287</v>
      </c>
    </row>
    <row r="13" spans="1:7" s="111" customFormat="1">
      <c r="A13" s="111" t="s">
        <v>3912</v>
      </c>
    </row>
    <row r="14" spans="1:7" s="111" customFormat="1"/>
    <row r="15" spans="1:7" s="15" customFormat="1" ht="20.100000000000001" customHeight="1">
      <c r="A15" s="18" t="s">
        <v>1193</v>
      </c>
      <c r="B15" s="129" t="s">
        <v>1098</v>
      </c>
      <c r="C15" s="129"/>
      <c r="D15" s="19" t="s">
        <v>14</v>
      </c>
      <c r="E15" s="19"/>
      <c r="F15" s="18"/>
      <c r="G15" s="16" t="s">
        <v>13</v>
      </c>
    </row>
    <row r="16" spans="1:7" s="111" customFormat="1"/>
    <row r="17" spans="1:7" s="111" customFormat="1">
      <c r="D17" s="2" t="s">
        <v>3913</v>
      </c>
      <c r="E17" s="2"/>
    </row>
    <row r="18" spans="1:7" s="111" customFormat="1">
      <c r="D18" s="2"/>
      <c r="E18" s="2"/>
    </row>
    <row r="19" spans="1:7" s="111" customFormat="1">
      <c r="A19" s="116" t="s">
        <v>3927</v>
      </c>
      <c r="B19" s="116" t="s">
        <v>3950</v>
      </c>
      <c r="D19" s="111" t="s">
        <v>3914</v>
      </c>
      <c r="E19" s="2"/>
      <c r="G19" s="111">
        <v>15000</v>
      </c>
    </row>
    <row r="20" spans="1:7" s="111" customFormat="1">
      <c r="D20" s="111" t="s">
        <v>3915</v>
      </c>
    </row>
    <row r="21" spans="1:7" s="111" customFormat="1">
      <c r="B21" s="121"/>
      <c r="C21" s="121"/>
      <c r="G21" s="149"/>
    </row>
    <row r="22" spans="1:7" s="111" customFormat="1">
      <c r="D22" s="120" t="s">
        <v>3951</v>
      </c>
      <c r="E22" s="120"/>
    </row>
    <row r="23" spans="1:7" s="111" customFormat="1">
      <c r="D23" s="120"/>
      <c r="E23" s="120"/>
    </row>
    <row r="24" spans="1:7" s="111" customFormat="1"/>
    <row r="25" spans="1:7" s="111" customFormat="1"/>
    <row r="26" spans="1:7" s="111" customFormat="1"/>
    <row r="27" spans="1:7" s="111" customFormat="1">
      <c r="B27" s="121"/>
      <c r="C27" s="121"/>
      <c r="G27" s="149"/>
    </row>
    <row r="28" spans="1:7" s="111" customFormat="1">
      <c r="D28" s="120"/>
      <c r="E28" s="120"/>
    </row>
    <row r="29" spans="1:7" s="111" customFormat="1">
      <c r="D29" s="120"/>
      <c r="E29" s="120"/>
    </row>
    <row r="30" spans="1:7" s="111" customFormat="1">
      <c r="D30" s="2"/>
      <c r="E30" s="2"/>
    </row>
    <row r="31" spans="1:7" s="111" customFormat="1"/>
    <row r="32" spans="1:7" s="111" customFormat="1"/>
    <row r="33" spans="1:7" s="111" customFormat="1"/>
    <row r="34" spans="1:7" s="111" customFormat="1"/>
    <row r="35" spans="1:7" s="111" customFormat="1" ht="13.5" thickBot="1">
      <c r="G35" s="127">
        <f>SUM(G18:G34)</f>
        <v>15000</v>
      </c>
    </row>
    <row r="36" spans="1:7" s="111" customFormat="1" ht="13.5" thickTop="1"/>
    <row r="37" spans="1:7" s="111" customFormat="1" ht="20.100000000000001" customHeight="1">
      <c r="A37" s="118" t="s">
        <v>204</v>
      </c>
      <c r="B37" s="202" t="str">
        <f>IF(OR(G35&gt;1000000,G35&lt;=0),"",IF(G35&lt;1000,"",IF(MOD(G35,1000000)&gt;=100000,INDEX(numbers,TRUNC(MOD(G35,1000000)/100000,0)+1)&amp;" Hundred","")&amp;IF(MOD(G35,100000)&gt;=20000," "&amp;INDEX(tens,TRUNC(MOD(G35,100000)/10000,0)+1)&amp;IF(MOD(MOD(G35,100000),10000)&gt;=1000,"-"&amp;INDEX(numbers,TRUNC(MOD(MOD(G35,100000),10000)/1000,0)+1),""),IF(MOD(G35,100000)&gt;=1000," "&amp;INDEX(numbers,TRUNC(MOD(G35,100000)/1000,0)+1),""))&amp;" Thousand") &amp; IF(G35&lt;1,"Zero Dollars",IF(MOD(G35,1000)&gt;=100," "&amp;INDEX(numbers,TRUNC(MOD(G35,1000)/100,0)+1)&amp;" Hundred","")&amp;IF(MOD(G35,100)&gt;=20," "&amp;INDEX(tens,TRUNC(MOD(G35,100)/10,0)+1)&amp;IF(MOD(MOD(G35,100),10)&gt;=1,"-"&amp;INDEX(numbers,TRUNC(MOD(MOD(G35,100),10),0)+1),""),IF(MOD(G35,100)&gt;=1," "&amp;INDEX(numbers,TRUNC(MOD(G35,100),0)+1),""))&amp;"") &amp; " and " &amp; IF(MOD(G35,1)&lt;0.005,"NO",ROUND(MOD(G35,1)*100,0)) &amp; "/100 -----------")</f>
        <v xml:space="preserve"> Fifteen Thousand and NO/100 -----------</v>
      </c>
      <c r="C37" s="202"/>
      <c r="D37" s="119"/>
      <c r="E37" s="119"/>
      <c r="F37" s="119"/>
      <c r="G37" s="119"/>
    </row>
    <row r="38" spans="1:7" s="111" customFormat="1">
      <c r="A38" s="120" t="s">
        <v>11</v>
      </c>
    </row>
    <row r="39" spans="1:7" s="111" customFormat="1" ht="25.5">
      <c r="A39" s="126" t="s">
        <v>10</v>
      </c>
      <c r="F39" s="265" t="s">
        <v>2894</v>
      </c>
      <c r="G39" s="267"/>
    </row>
    <row r="40" spans="1:7" s="111" customFormat="1"/>
    <row r="41" spans="1:7" s="111" customFormat="1"/>
    <row r="42" spans="1:7" s="111" customFormat="1">
      <c r="A42" s="111" t="s">
        <v>52</v>
      </c>
      <c r="D42" s="121"/>
      <c r="E42" s="121"/>
    </row>
    <row r="43" spans="1:7" s="111" customFormat="1">
      <c r="A43" s="122"/>
      <c r="B43" s="122"/>
    </row>
    <row r="44" spans="1:7" s="111" customFormat="1"/>
    <row r="45" spans="1:7" s="111" customFormat="1">
      <c r="A45" s="123" t="s">
        <v>8</v>
      </c>
      <c r="D45" s="123" t="s">
        <v>8</v>
      </c>
      <c r="F45" s="123" t="s">
        <v>7</v>
      </c>
      <c r="G45" s="124"/>
    </row>
    <row r="46" spans="1:7" s="111" customFormat="1"/>
    <row r="47" spans="1:7" s="111" customFormat="1"/>
    <row r="48" spans="1:7" s="111" customFormat="1"/>
    <row r="49" spans="1:7" s="111" customFormat="1">
      <c r="A49" s="122" t="s">
        <v>51</v>
      </c>
      <c r="B49" s="122"/>
      <c r="D49" s="122" t="s">
        <v>51</v>
      </c>
      <c r="F49" s="122"/>
      <c r="G49" s="122"/>
    </row>
    <row r="50" spans="1:7" s="126" customFormat="1" ht="17.100000000000001" customHeight="1">
      <c r="A50" s="151" t="s">
        <v>2948</v>
      </c>
      <c r="B50" s="125"/>
      <c r="C50" s="125"/>
      <c r="D50" s="151" t="s">
        <v>103</v>
      </c>
      <c r="F50" s="126" t="s">
        <v>3</v>
      </c>
    </row>
    <row r="51" spans="1:7" s="111" customFormat="1">
      <c r="F51" s="111" t="s">
        <v>2</v>
      </c>
    </row>
    <row r="52" spans="1:7" s="111" customFormat="1"/>
    <row r="53" spans="1:7" s="111" customFormat="1">
      <c r="F53" s="2" t="s">
        <v>1</v>
      </c>
    </row>
    <row r="54" spans="1:7" s="111" customFormat="1">
      <c r="F54" s="2" t="s">
        <v>0</v>
      </c>
    </row>
  </sheetData>
  <mergeCells count="4">
    <mergeCell ref="A1:G1"/>
    <mergeCell ref="A2:G2"/>
    <mergeCell ref="A3:G3"/>
    <mergeCell ref="A4:G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Sheet13">
    <pageSetUpPr fitToPage="1"/>
  </sheetPr>
  <dimension ref="A1:F56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116</v>
      </c>
    </row>
    <row r="10" spans="1:6">
      <c r="A10" s="1" t="s">
        <v>115</v>
      </c>
      <c r="D10" s="21" t="s">
        <v>21</v>
      </c>
      <c r="E10" s="21" t="s">
        <v>114</v>
      </c>
    </row>
    <row r="11" spans="1:6">
      <c r="A11" s="1" t="s">
        <v>113</v>
      </c>
      <c r="D11" s="21" t="s">
        <v>19</v>
      </c>
      <c r="E11" s="21" t="s">
        <v>18</v>
      </c>
    </row>
    <row r="12" spans="1:6">
      <c r="D12" s="21" t="s">
        <v>17</v>
      </c>
      <c r="E12" s="20" t="s">
        <v>112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8" spans="2:6">
      <c r="C18" s="1" t="s">
        <v>55</v>
      </c>
    </row>
    <row r="19" spans="2:6">
      <c r="C19" s="13"/>
    </row>
    <row r="20" spans="2:6">
      <c r="B20" s="8"/>
      <c r="C20" s="14" t="s">
        <v>111</v>
      </c>
    </row>
    <row r="21" spans="2:6">
      <c r="B21" s="8"/>
    </row>
    <row r="22" spans="2:6">
      <c r="B22" s="8"/>
      <c r="C22" s="1" t="s">
        <v>108</v>
      </c>
      <c r="F22" s="1">
        <v>1890</v>
      </c>
    </row>
    <row r="23" spans="2:6">
      <c r="B23" s="8"/>
      <c r="C23" s="1" t="s">
        <v>107</v>
      </c>
      <c r="F23" s="35">
        <v>283.5</v>
      </c>
    </row>
    <row r="24" spans="2:6">
      <c r="B24" s="8"/>
      <c r="F24" s="1">
        <f>SUM(F22:F23)</f>
        <v>2173.5</v>
      </c>
    </row>
    <row r="25" spans="2:6">
      <c r="B25" s="8"/>
      <c r="C25" s="1" t="s">
        <v>110</v>
      </c>
      <c r="F25" s="1">
        <v>-1620</v>
      </c>
    </row>
    <row r="26" spans="2:6">
      <c r="F26" s="43">
        <f>SUM(F24:F25)</f>
        <v>553.5</v>
      </c>
    </row>
    <row r="28" spans="2:6">
      <c r="C28" s="14" t="s">
        <v>109</v>
      </c>
    </row>
    <row r="29" spans="2:6">
      <c r="C29" s="14"/>
    </row>
    <row r="30" spans="2:6">
      <c r="C30" s="1" t="s">
        <v>108</v>
      </c>
      <c r="F30" s="1">
        <v>1890</v>
      </c>
    </row>
    <row r="31" spans="2:6">
      <c r="C31" s="1" t="s">
        <v>107</v>
      </c>
      <c r="F31" s="1">
        <v>283.5</v>
      </c>
    </row>
    <row r="32" spans="2:6">
      <c r="C32" s="1" t="s">
        <v>106</v>
      </c>
    </row>
    <row r="33" spans="1:6" ht="13.5" thickBot="1">
      <c r="F33" s="12">
        <f>SUM(F20:F32)</f>
        <v>5454</v>
      </c>
    </row>
    <row r="34" spans="1:6" ht="13.5" thickTop="1">
      <c r="C34" s="1" t="s">
        <v>105</v>
      </c>
      <c r="F34" s="1">
        <v>-1890</v>
      </c>
    </row>
    <row r="35" spans="1:6">
      <c r="F35" s="43">
        <f>SUM(F33:F34)</f>
        <v>3564</v>
      </c>
    </row>
    <row r="37" spans="1:6" ht="13.5" thickBot="1">
      <c r="F37" s="33">
        <f>+F26+F35</f>
        <v>4117.5</v>
      </c>
    </row>
    <row r="38" spans="1:6" ht="13.5" thickTop="1"/>
    <row r="39" spans="1:6" ht="20.100000000000001" customHeight="1">
      <c r="A39" s="271" t="s">
        <v>104</v>
      </c>
      <c r="B39" s="10"/>
      <c r="C39" s="9"/>
      <c r="D39" s="265" t="s">
        <v>2894</v>
      </c>
      <c r="E39" s="266"/>
      <c r="F39" s="267"/>
    </row>
    <row r="40" spans="1:6">
      <c r="A40" s="8" t="s">
        <v>11</v>
      </c>
    </row>
    <row r="41" spans="1:6">
      <c r="A41" s="1" t="s">
        <v>10</v>
      </c>
    </row>
    <row r="44" spans="1:6">
      <c r="A44" s="1" t="s">
        <v>9</v>
      </c>
      <c r="C44" s="7"/>
    </row>
    <row r="45" spans="1:6">
      <c r="C45" s="7"/>
    </row>
    <row r="47" spans="1:6">
      <c r="A47" s="6" t="s">
        <v>8</v>
      </c>
      <c r="D47" s="6" t="s">
        <v>7</v>
      </c>
      <c r="F47" s="5"/>
    </row>
    <row r="50" spans="1:4">
      <c r="A50" s="273" t="s">
        <v>2948</v>
      </c>
    </row>
    <row r="51" spans="1:4">
      <c r="A51" s="1" t="s">
        <v>6</v>
      </c>
      <c r="D51" s="1" t="s">
        <v>5</v>
      </c>
    </row>
    <row r="52" spans="1:4" s="3" customFormat="1" ht="17.100000000000001" customHeight="1">
      <c r="A52" s="4" t="s">
        <v>103</v>
      </c>
      <c r="B52" s="4"/>
      <c r="D52" s="3" t="s">
        <v>3</v>
      </c>
    </row>
    <row r="53" spans="1:4">
      <c r="D53" s="1" t="s">
        <v>2</v>
      </c>
    </row>
    <row r="55" spans="1:4">
      <c r="D55" s="2" t="s">
        <v>1</v>
      </c>
    </row>
    <row r="56" spans="1:4">
      <c r="D56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Sheet52">
    <pageSetUpPr fitToPage="1"/>
  </sheetPr>
  <dimension ref="A1:F52"/>
  <sheetViews>
    <sheetView topLeftCell="A4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124</v>
      </c>
    </row>
    <row r="10" spans="1:6">
      <c r="A10" s="1" t="s">
        <v>123</v>
      </c>
      <c r="D10" s="21" t="s">
        <v>21</v>
      </c>
      <c r="E10" s="21" t="s">
        <v>40</v>
      </c>
    </row>
    <row r="11" spans="1:6">
      <c r="A11" s="1" t="s">
        <v>57</v>
      </c>
      <c r="D11" s="21" t="s">
        <v>19</v>
      </c>
      <c r="E11" s="21" t="s">
        <v>18</v>
      </c>
    </row>
    <row r="12" spans="1:6">
      <c r="D12" s="21" t="s">
        <v>17</v>
      </c>
      <c r="E12" s="20" t="s">
        <v>122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56</v>
      </c>
    </row>
    <row r="20" spans="1:6">
      <c r="C20" s="14" t="s">
        <v>121</v>
      </c>
    </row>
    <row r="21" spans="1:6">
      <c r="C21" s="14" t="s">
        <v>120</v>
      </c>
    </row>
    <row r="23" spans="1:6">
      <c r="A23" s="13" t="s">
        <v>119</v>
      </c>
      <c r="C23" s="1" t="s">
        <v>118</v>
      </c>
      <c r="F23" s="1">
        <v>250</v>
      </c>
    </row>
    <row r="33" spans="1:6" ht="13.5" thickBot="1">
      <c r="F33" s="12">
        <f>SUM(F20:F32)</f>
        <v>250</v>
      </c>
    </row>
    <row r="34" spans="1:6" ht="13.5" thickTop="1"/>
    <row r="35" spans="1:6" ht="20.100000000000001" customHeight="1">
      <c r="A35" s="11" t="s">
        <v>117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D49B-CF6A-4459-9713-8AE1E6B95EBE}">
  <sheetPr codeName="Sheet609">
    <pageSetUpPr fitToPage="1"/>
  </sheetPr>
  <dimension ref="A1:R55"/>
  <sheetViews>
    <sheetView zoomScaleNormal="100" workbookViewId="0">
      <selection activeCell="G9" sqref="G9:G13"/>
    </sheetView>
  </sheetViews>
  <sheetFormatPr defaultRowHeight="12.75"/>
  <cols>
    <col min="1" max="1" width="15.85546875" style="483" customWidth="1"/>
    <col min="2" max="2" width="15.42578125" style="483" customWidth="1"/>
    <col min="3" max="3" width="1" style="483" customWidth="1"/>
    <col min="4" max="4" width="23" style="483" customWidth="1"/>
    <col min="5" max="5" width="1.42578125" style="483" customWidth="1"/>
    <col min="6" max="6" width="12" style="483" customWidth="1"/>
    <col min="7" max="7" width="9.7109375" style="483" customWidth="1"/>
    <col min="8" max="8" width="13.140625" style="483" customWidth="1"/>
    <col min="9" max="16384" width="9.140625" style="483"/>
  </cols>
  <sheetData>
    <row r="1" spans="1:1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8">
      <c r="A8" s="483" t="s">
        <v>24</v>
      </c>
      <c r="F8" s="22" t="s">
        <v>23</v>
      </c>
    </row>
    <row r="9" spans="1:18">
      <c r="F9" s="484" t="s">
        <v>1239</v>
      </c>
      <c r="G9" s="489" t="s">
        <v>6607</v>
      </c>
    </row>
    <row r="10" spans="1:18">
      <c r="A10" s="483" t="s">
        <v>6609</v>
      </c>
      <c r="F10" s="484" t="s">
        <v>1124</v>
      </c>
      <c r="G10" s="489" t="s">
        <v>6606</v>
      </c>
    </row>
    <row r="11" spans="1:18">
      <c r="A11" s="483" t="s">
        <v>6610</v>
      </c>
      <c r="F11" s="484" t="s">
        <v>1125</v>
      </c>
      <c r="G11" s="489" t="s">
        <v>1094</v>
      </c>
    </row>
    <row r="12" spans="1:18">
      <c r="A12" s="483" t="s">
        <v>5921</v>
      </c>
      <c r="F12" s="484" t="s">
        <v>1096</v>
      </c>
      <c r="G12" s="483" t="s">
        <v>6608</v>
      </c>
    </row>
    <row r="13" spans="1:18">
      <c r="A13" s="483" t="s">
        <v>1354</v>
      </c>
      <c r="G13" s="483" t="s">
        <v>5914</v>
      </c>
    </row>
    <row r="15" spans="1:18">
      <c r="K15" s="485" t="s">
        <v>11</v>
      </c>
      <c r="L15" s="485" t="s">
        <v>5971</v>
      </c>
      <c r="M15" s="485"/>
      <c r="N15" s="483" t="s">
        <v>5972</v>
      </c>
      <c r="R15" s="483">
        <v>2300</v>
      </c>
    </row>
    <row r="16" spans="1:18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  <c r="K16" s="485"/>
      <c r="L16" s="485"/>
      <c r="M16" s="485"/>
      <c r="N16" s="483" t="s">
        <v>5970</v>
      </c>
      <c r="O16" s="483"/>
      <c r="P16" s="483"/>
      <c r="Q16" s="483"/>
      <c r="R16" s="483"/>
    </row>
    <row r="17" spans="1:14">
      <c r="A17" s="153"/>
      <c r="N17" s="483" t="s">
        <v>6049</v>
      </c>
    </row>
    <row r="18" spans="1:14">
      <c r="B18" s="485" t="s">
        <v>11</v>
      </c>
      <c r="C18" s="485"/>
      <c r="D18" s="482" t="s">
        <v>6411</v>
      </c>
      <c r="E18" s="482"/>
    </row>
    <row r="20" spans="1:14">
      <c r="A20" s="485" t="s">
        <v>6611</v>
      </c>
      <c r="B20" s="485" t="s">
        <v>6612</v>
      </c>
      <c r="C20" s="485"/>
      <c r="D20" s="483" t="s">
        <v>6613</v>
      </c>
      <c r="H20" s="483">
        <v>300</v>
      </c>
    </row>
    <row r="21" spans="1:14">
      <c r="A21" s="485"/>
      <c r="B21" s="485"/>
      <c r="C21" s="485"/>
    </row>
    <row r="22" spans="1:14">
      <c r="A22" s="485"/>
      <c r="B22" s="485"/>
      <c r="C22" s="485"/>
    </row>
    <row r="23" spans="1:14">
      <c r="A23" s="485"/>
      <c r="B23" s="485"/>
      <c r="C23" s="485"/>
    </row>
    <row r="24" spans="1:14">
      <c r="A24" s="485"/>
      <c r="B24" s="485"/>
      <c r="C24" s="485"/>
    </row>
    <row r="25" spans="1:14">
      <c r="A25" s="485"/>
      <c r="B25" s="485"/>
      <c r="C25" s="485"/>
    </row>
    <row r="26" spans="1:14">
      <c r="A26" s="485"/>
      <c r="B26" s="485"/>
      <c r="C26" s="485"/>
    </row>
    <row r="27" spans="1:14">
      <c r="A27" s="485"/>
      <c r="B27" s="485"/>
      <c r="C27" s="485"/>
    </row>
    <row r="29" spans="1:14">
      <c r="A29" s="485"/>
      <c r="B29" s="121"/>
      <c r="C29" s="121"/>
    </row>
    <row r="30" spans="1:14">
      <c r="A30" s="121"/>
      <c r="B30" s="121"/>
      <c r="C30" s="121"/>
    </row>
    <row r="31" spans="1:14">
      <c r="A31" s="485"/>
      <c r="B31" s="121"/>
      <c r="C31" s="121"/>
    </row>
    <row r="32" spans="1:14">
      <c r="A32" s="153"/>
    </row>
    <row r="33" spans="1:8">
      <c r="A33" s="153"/>
    </row>
    <row r="34" spans="1:8">
      <c r="A34" s="153"/>
    </row>
    <row r="35" spans="1:8">
      <c r="A35" s="153"/>
    </row>
    <row r="36" spans="1:8" ht="13.5" thickBot="1">
      <c r="A36" s="153"/>
      <c r="H36" s="117">
        <f>SUM(H18:H34)</f>
        <v>300</v>
      </c>
    </row>
    <row r="37" spans="1:8" ht="13.5" thickTop="1">
      <c r="A37" s="153"/>
    </row>
    <row r="38" spans="1:8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Three Hundred and NO/100 -----------</v>
      </c>
      <c r="C38" s="202"/>
      <c r="D38" s="119"/>
      <c r="E38" s="119"/>
      <c r="F38" s="119"/>
      <c r="G38" s="119"/>
      <c r="H38" s="119"/>
    </row>
    <row r="39" spans="1:8">
      <c r="A39" s="486" t="s">
        <v>11</v>
      </c>
    </row>
    <row r="40" spans="1:8" ht="25.5">
      <c r="A40" s="126" t="s">
        <v>10</v>
      </c>
      <c r="F40" s="265" t="s">
        <v>2894</v>
      </c>
      <c r="G40" s="266"/>
      <c r="H40" s="267"/>
    </row>
    <row r="43" spans="1:8">
      <c r="D43" s="121"/>
      <c r="E43" s="121"/>
    </row>
    <row r="44" spans="1:8">
      <c r="A44" s="122"/>
      <c r="B44" s="122"/>
      <c r="C44" s="433"/>
      <c r="D44" s="433"/>
    </row>
    <row r="45" spans="1:8">
      <c r="D45" s="433"/>
    </row>
    <row r="46" spans="1:8">
      <c r="A46" s="487" t="s">
        <v>8</v>
      </c>
      <c r="D46" s="487" t="s">
        <v>8</v>
      </c>
      <c r="F46" s="487" t="s">
        <v>7</v>
      </c>
      <c r="H46" s="124"/>
    </row>
    <row r="50" spans="1:8">
      <c r="A50" s="122"/>
      <c r="B50" s="122"/>
      <c r="C50" s="433"/>
      <c r="D50" s="122"/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D52" s="433"/>
      <c r="F52" s="483" t="s">
        <v>2</v>
      </c>
    </row>
    <row r="53" spans="1:8">
      <c r="D53" s="433"/>
    </row>
    <row r="54" spans="1:8">
      <c r="D54" s="433"/>
      <c r="F54" s="482" t="s">
        <v>1</v>
      </c>
    </row>
    <row r="55" spans="1:8">
      <c r="F55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Sheet108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133</v>
      </c>
    </row>
    <row r="10" spans="1:6">
      <c r="A10" s="1" t="s">
        <v>132</v>
      </c>
      <c r="D10" s="21" t="s">
        <v>21</v>
      </c>
      <c r="E10" s="21" t="s">
        <v>131</v>
      </c>
    </row>
    <row r="11" spans="1:6">
      <c r="A11" s="1" t="s">
        <v>130</v>
      </c>
      <c r="D11" s="21" t="s">
        <v>19</v>
      </c>
      <c r="E11" s="21" t="s">
        <v>18</v>
      </c>
    </row>
    <row r="12" spans="1:6">
      <c r="D12" s="21" t="s">
        <v>17</v>
      </c>
      <c r="E12" s="21" t="s">
        <v>129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1" spans="2:6">
      <c r="C21" s="1" t="s">
        <v>128</v>
      </c>
      <c r="F21" s="1">
        <v>6116</v>
      </c>
    </row>
    <row r="23" spans="2:6">
      <c r="C23" s="1" t="s">
        <v>39</v>
      </c>
    </row>
    <row r="24" spans="2:6">
      <c r="B24" s="8"/>
    </row>
    <row r="25" spans="2:6">
      <c r="B25" s="8" t="s">
        <v>43</v>
      </c>
      <c r="C25" s="1" t="s">
        <v>127</v>
      </c>
      <c r="F25" s="1">
        <v>30.6</v>
      </c>
    </row>
    <row r="26" spans="2:6">
      <c r="B26" s="8"/>
      <c r="C26" s="1" t="s">
        <v>126</v>
      </c>
    </row>
    <row r="27" spans="2:6">
      <c r="B27" s="8"/>
    </row>
    <row r="28" spans="2:6">
      <c r="B28" s="8"/>
    </row>
    <row r="29" spans="2:6">
      <c r="B29" s="8"/>
    </row>
    <row r="30" spans="2:6">
      <c r="B30" s="8"/>
    </row>
    <row r="33" spans="1:6" ht="13.5" thickBot="1">
      <c r="F33" s="12">
        <f>SUM(F20:F32)</f>
        <v>6146.6</v>
      </c>
    </row>
    <row r="34" spans="1:6" ht="13.5" thickTop="1"/>
    <row r="35" spans="1:6" ht="20.100000000000001" customHeight="1">
      <c r="A35" s="10" t="s">
        <v>125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Sheet110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142</v>
      </c>
    </row>
    <row r="10" spans="1:6">
      <c r="A10" s="1" t="s">
        <v>141</v>
      </c>
      <c r="D10" s="21" t="s">
        <v>21</v>
      </c>
      <c r="E10" s="21" t="s">
        <v>140</v>
      </c>
    </row>
    <row r="11" spans="1:6">
      <c r="A11" s="1" t="s">
        <v>130</v>
      </c>
      <c r="D11" s="21" t="s">
        <v>19</v>
      </c>
      <c r="E11" s="21" t="s">
        <v>18</v>
      </c>
    </row>
    <row r="12" spans="1:6">
      <c r="D12" s="21" t="s">
        <v>17</v>
      </c>
      <c r="E12" s="21" t="s">
        <v>139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0" spans="2:6">
      <c r="C20" s="14" t="s">
        <v>138</v>
      </c>
    </row>
    <row r="21" spans="2:6">
      <c r="C21" s="44" t="s">
        <v>137</v>
      </c>
    </row>
    <row r="25" spans="2:6">
      <c r="C25" s="1" t="s">
        <v>136</v>
      </c>
      <c r="F25" s="1">
        <v>150</v>
      </c>
    </row>
    <row r="26" spans="2:6">
      <c r="B26" s="8"/>
      <c r="C26" s="1" t="s">
        <v>135</v>
      </c>
    </row>
    <row r="27" spans="2:6">
      <c r="B27" s="8"/>
    </row>
    <row r="33" spans="1:6" ht="13.5" thickBot="1">
      <c r="F33" s="12">
        <f>SUM(F20:F32)</f>
        <v>150</v>
      </c>
    </row>
    <row r="34" spans="1:6" ht="13.5" thickTop="1"/>
    <row r="35" spans="1:6" ht="20.100000000000001" customHeight="1">
      <c r="A35" s="10" t="s">
        <v>134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Sheet114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42578125" style="111" customWidth="1"/>
    <col min="2" max="2" width="12.42578125" style="111" customWidth="1"/>
    <col min="3" max="3" width="22.42578125" style="111" customWidth="1"/>
    <col min="4" max="4" width="12.140625" style="111" customWidth="1"/>
    <col min="5" max="5" width="9.71093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1221</v>
      </c>
      <c r="E9" s="123" t="s">
        <v>2897</v>
      </c>
    </row>
    <row r="10" spans="1:6">
      <c r="A10" s="111" t="s">
        <v>143</v>
      </c>
      <c r="D10" s="112" t="s">
        <v>1124</v>
      </c>
      <c r="E10" s="112" t="s">
        <v>2896</v>
      </c>
    </row>
    <row r="11" spans="1:6">
      <c r="A11" s="111" t="s">
        <v>1222</v>
      </c>
      <c r="D11" s="112" t="s">
        <v>1125</v>
      </c>
      <c r="E11" s="120" t="s">
        <v>1094</v>
      </c>
    </row>
    <row r="12" spans="1:6">
      <c r="D12" s="112" t="s">
        <v>1126</v>
      </c>
      <c r="E12" s="120"/>
    </row>
    <row r="16" spans="1:6" s="15" customFormat="1" ht="20.100000000000001" customHeight="1">
      <c r="A16" s="18" t="s">
        <v>1113</v>
      </c>
      <c r="B16" s="129" t="s">
        <v>1114</v>
      </c>
      <c r="C16" s="19" t="s">
        <v>14</v>
      </c>
      <c r="D16" s="18"/>
      <c r="E16" s="17"/>
      <c r="F16" s="16" t="s">
        <v>13</v>
      </c>
    </row>
    <row r="18" spans="1:6">
      <c r="A18" s="148"/>
      <c r="C18" s="2" t="s">
        <v>1330</v>
      </c>
    </row>
    <row r="19" spans="1:6">
      <c r="C19" s="2"/>
    </row>
    <row r="20" spans="1:6">
      <c r="C20" s="2" t="s">
        <v>2899</v>
      </c>
    </row>
    <row r="21" spans="1:6">
      <c r="A21" s="159" t="s">
        <v>1906</v>
      </c>
      <c r="C21" s="168"/>
    </row>
    <row r="22" spans="1:6">
      <c r="A22" s="252" t="s">
        <v>2898</v>
      </c>
      <c r="C22" s="111" t="s">
        <v>2719</v>
      </c>
      <c r="F22" s="111">
        <v>85</v>
      </c>
    </row>
    <row r="23" spans="1:6">
      <c r="B23" s="157"/>
      <c r="C23" s="111" t="s">
        <v>2237</v>
      </c>
      <c r="F23" s="111">
        <v>350</v>
      </c>
    </row>
    <row r="24" spans="1:6">
      <c r="B24" s="157"/>
      <c r="C24" s="111" t="s">
        <v>2300</v>
      </c>
      <c r="F24" s="111">
        <f>199+98</f>
        <v>297</v>
      </c>
    </row>
    <row r="25" spans="1:6">
      <c r="C25" s="111" t="s">
        <v>1583</v>
      </c>
      <c r="F25" s="111">
        <f>200.8</f>
        <v>200.8</v>
      </c>
    </row>
    <row r="26" spans="1:6">
      <c r="A26" s="159"/>
      <c r="B26" s="111" t="s">
        <v>1034</v>
      </c>
    </row>
    <row r="27" spans="1:6">
      <c r="A27" s="252"/>
      <c r="B27" s="120"/>
    </row>
    <row r="28" spans="1:6">
      <c r="A28" s="159"/>
      <c r="B28" s="120"/>
      <c r="C28" s="2"/>
    </row>
    <row r="29" spans="1:6">
      <c r="A29" s="159"/>
      <c r="B29" s="120"/>
      <c r="C29" s="2"/>
    </row>
    <row r="30" spans="1:6">
      <c r="A30" s="252"/>
      <c r="B30" s="120"/>
    </row>
    <row r="31" spans="1:6">
      <c r="B31" s="120"/>
    </row>
    <row r="32" spans="1:6">
      <c r="A32" s="148"/>
      <c r="B32" s="120"/>
    </row>
    <row r="34" spans="1:6">
      <c r="F34" s="2"/>
    </row>
    <row r="35" spans="1:6" ht="13.5" thickBot="1">
      <c r="F35" s="117">
        <f>SUM(F20:F32)</f>
        <v>932.8</v>
      </c>
    </row>
    <row r="36" spans="1:6" ht="13.5" thickTop="1"/>
    <row r="37" spans="1:6" ht="20.100000000000001" customHeight="1">
      <c r="A37" s="118" t="s">
        <v>204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Nine Hundred Thirty-Two and 80/100 -----------</v>
      </c>
      <c r="C37" s="119"/>
      <c r="D37" s="119"/>
      <c r="E37" s="119"/>
      <c r="F37" s="119"/>
    </row>
    <row r="38" spans="1:6">
      <c r="A38" s="120" t="s">
        <v>11</v>
      </c>
    </row>
    <row r="39" spans="1:6" ht="25.5">
      <c r="A39" s="126" t="s">
        <v>10</v>
      </c>
      <c r="D39" s="265" t="s">
        <v>2894</v>
      </c>
      <c r="E39" s="266"/>
      <c r="F39" s="267"/>
    </row>
    <row r="42" spans="1:6">
      <c r="A42" s="111" t="s">
        <v>52</v>
      </c>
      <c r="C42" s="121"/>
    </row>
    <row r="43" spans="1:6">
      <c r="A43" s="122"/>
      <c r="B43" s="122"/>
    </row>
    <row r="45" spans="1:6">
      <c r="A45" s="123" t="s">
        <v>8</v>
      </c>
      <c r="D45" s="123" t="s">
        <v>7</v>
      </c>
      <c r="F45" s="124"/>
    </row>
    <row r="49" spans="1:6">
      <c r="A49" s="122" t="s">
        <v>51</v>
      </c>
      <c r="B49" s="122"/>
      <c r="D49" s="122"/>
      <c r="E49" s="122"/>
      <c r="F49" s="122"/>
    </row>
    <row r="50" spans="1:6" s="126" customFormat="1" ht="17.100000000000001" customHeight="1">
      <c r="A50" s="151" t="s">
        <v>2948</v>
      </c>
      <c r="B50" s="125"/>
      <c r="D50" s="126" t="s">
        <v>3</v>
      </c>
    </row>
    <row r="51" spans="1:6">
      <c r="D51" s="111" t="s">
        <v>2</v>
      </c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Sheet273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42578125" style="111" customWidth="1"/>
    <col min="2" max="2" width="12.42578125" style="111" customWidth="1"/>
    <col min="3" max="3" width="22.42578125" style="111" customWidth="1"/>
    <col min="4" max="4" width="12.140625" style="111" customWidth="1"/>
    <col min="5" max="5" width="9.71093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1221</v>
      </c>
      <c r="E9" s="111" t="s">
        <v>2746</v>
      </c>
    </row>
    <row r="10" spans="1:6">
      <c r="A10" s="111" t="s">
        <v>143</v>
      </c>
      <c r="D10" s="112" t="s">
        <v>1124</v>
      </c>
      <c r="E10" s="112" t="s">
        <v>2743</v>
      </c>
    </row>
    <row r="11" spans="1:6">
      <c r="A11" s="111" t="s">
        <v>1222</v>
      </c>
      <c r="D11" s="112" t="s">
        <v>1125</v>
      </c>
      <c r="E11" s="112" t="s">
        <v>1094</v>
      </c>
    </row>
    <row r="12" spans="1:6">
      <c r="D12" s="112" t="s">
        <v>1126</v>
      </c>
      <c r="E12" s="112" t="s">
        <v>2747</v>
      </c>
    </row>
    <row r="16" spans="1:6" s="15" customFormat="1" ht="20.100000000000001" customHeight="1">
      <c r="A16" s="18" t="s">
        <v>1113</v>
      </c>
      <c r="B16" s="129" t="s">
        <v>1114</v>
      </c>
      <c r="C16" s="19" t="s">
        <v>14</v>
      </c>
      <c r="D16" s="18"/>
      <c r="E16" s="17"/>
      <c r="F16" s="16" t="s">
        <v>13</v>
      </c>
    </row>
    <row r="18" spans="1:6">
      <c r="A18" s="148"/>
      <c r="C18" s="2" t="s">
        <v>1330</v>
      </c>
    </row>
    <row r="19" spans="1:6">
      <c r="C19" s="2"/>
    </row>
    <row r="20" spans="1:6">
      <c r="C20" s="2" t="s">
        <v>2748</v>
      </c>
    </row>
    <row r="21" spans="1:6">
      <c r="A21" s="159" t="s">
        <v>1906</v>
      </c>
      <c r="C21" s="168" t="s">
        <v>2749</v>
      </c>
    </row>
    <row r="22" spans="1:6">
      <c r="A22" s="252" t="s">
        <v>2744</v>
      </c>
    </row>
    <row r="23" spans="1:6">
      <c r="A23" s="111" t="s">
        <v>2750</v>
      </c>
      <c r="B23" s="157"/>
      <c r="C23" s="111" t="s">
        <v>2751</v>
      </c>
      <c r="F23" s="111">
        <v>391.5</v>
      </c>
    </row>
    <row r="24" spans="1:6">
      <c r="B24" s="157"/>
      <c r="C24" s="111" t="s">
        <v>1583</v>
      </c>
      <c r="F24" s="111">
        <v>40</v>
      </c>
    </row>
    <row r="26" spans="1:6">
      <c r="A26" s="159"/>
      <c r="C26" s="2" t="s">
        <v>2752</v>
      </c>
    </row>
    <row r="27" spans="1:6">
      <c r="A27" s="252"/>
      <c r="B27" s="120"/>
      <c r="C27" s="2"/>
    </row>
    <row r="28" spans="1:6">
      <c r="A28" s="159" t="s">
        <v>1906</v>
      </c>
      <c r="B28" s="120"/>
      <c r="C28" s="111" t="s">
        <v>2719</v>
      </c>
      <c r="F28" s="111">
        <v>1350</v>
      </c>
    </row>
    <row r="29" spans="1:6">
      <c r="A29" s="252" t="s">
        <v>2745</v>
      </c>
      <c r="B29" s="120"/>
      <c r="C29" s="111" t="s">
        <v>2754</v>
      </c>
      <c r="F29" s="111">
        <v>202.5</v>
      </c>
    </row>
    <row r="30" spans="1:6">
      <c r="A30" s="111" t="s">
        <v>2753</v>
      </c>
      <c r="B30" s="120"/>
      <c r="C30" s="111" t="s">
        <v>1583</v>
      </c>
      <c r="F30" s="111">
        <f>465.5+25</f>
        <v>490.5</v>
      </c>
    </row>
    <row r="31" spans="1:6">
      <c r="A31" s="148"/>
      <c r="B31" s="120"/>
    </row>
    <row r="34" spans="1:6">
      <c r="F34" s="2"/>
    </row>
    <row r="35" spans="1:6" ht="13.5" thickBot="1">
      <c r="F35" s="117">
        <f>SUM(F20:F31)</f>
        <v>2474.5</v>
      </c>
    </row>
    <row r="36" spans="1:6" ht="13.5" thickTop="1"/>
    <row r="37" spans="1:6" ht="20.100000000000001" customHeight="1">
      <c r="A37" s="118" t="s">
        <v>204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Four Hundred Seventy-Four and 50/100 -----------</v>
      </c>
      <c r="C37" s="119"/>
      <c r="D37" s="119"/>
      <c r="E37" s="119"/>
      <c r="F37" s="119"/>
    </row>
    <row r="38" spans="1:6">
      <c r="A38" s="120" t="s">
        <v>11</v>
      </c>
    </row>
    <row r="39" spans="1:6" ht="25.5">
      <c r="A39" s="126" t="s">
        <v>10</v>
      </c>
      <c r="D39" s="265" t="s">
        <v>2894</v>
      </c>
      <c r="E39" s="266"/>
      <c r="F39" s="267"/>
    </row>
    <row r="42" spans="1:6">
      <c r="A42" s="111" t="s">
        <v>52</v>
      </c>
      <c r="C42" s="121"/>
    </row>
    <row r="43" spans="1:6">
      <c r="A43" s="122"/>
      <c r="B43" s="122"/>
    </row>
    <row r="45" spans="1:6">
      <c r="A45" s="123" t="s">
        <v>8</v>
      </c>
      <c r="D45" s="123" t="s">
        <v>7</v>
      </c>
      <c r="F45" s="124"/>
    </row>
    <row r="49" spans="1:6">
      <c r="A49" s="122" t="s">
        <v>51</v>
      </c>
      <c r="B49" s="122"/>
      <c r="D49" s="122"/>
      <c r="E49" s="122"/>
      <c r="F49" s="122"/>
    </row>
    <row r="50" spans="1:6" s="126" customFormat="1" ht="17.100000000000001" customHeight="1">
      <c r="A50" s="151" t="s">
        <v>2948</v>
      </c>
      <c r="B50" s="125"/>
      <c r="D50" s="126" t="s">
        <v>3</v>
      </c>
    </row>
    <row r="51" spans="1:6">
      <c r="D51" s="111" t="s">
        <v>2</v>
      </c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Sheet12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150</v>
      </c>
    </row>
    <row r="10" spans="1:6">
      <c r="A10" s="1" t="s">
        <v>115</v>
      </c>
      <c r="D10" s="21" t="s">
        <v>21</v>
      </c>
      <c r="E10" s="21" t="s">
        <v>149</v>
      </c>
    </row>
    <row r="11" spans="1:6">
      <c r="A11" s="1" t="s">
        <v>113</v>
      </c>
      <c r="D11" s="21" t="s">
        <v>19</v>
      </c>
      <c r="E11" s="21" t="s">
        <v>18</v>
      </c>
    </row>
    <row r="12" spans="1:6">
      <c r="D12" s="21" t="s">
        <v>17</v>
      </c>
      <c r="E12" s="20" t="s">
        <v>148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2" spans="2:6">
      <c r="C22" s="1" t="s">
        <v>147</v>
      </c>
    </row>
    <row r="24" spans="2:6">
      <c r="B24" s="8"/>
      <c r="C24" s="1" t="s">
        <v>146</v>
      </c>
      <c r="F24" s="1">
        <v>4223.88</v>
      </c>
    </row>
    <row r="25" spans="2:6">
      <c r="B25" s="8"/>
      <c r="C25" s="1" t="s">
        <v>145</v>
      </c>
    </row>
    <row r="26" spans="2:6">
      <c r="B26" s="8"/>
    </row>
    <row r="33" spans="1:6" ht="13.5" thickBot="1">
      <c r="F33" s="12">
        <f>SUM(F20:F32)</f>
        <v>4223.88</v>
      </c>
    </row>
    <row r="34" spans="1:6" ht="13.5" thickTop="1"/>
    <row r="35" spans="1:6" ht="20.100000000000001" customHeight="1">
      <c r="A35" s="10" t="s">
        <v>144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103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Sheet3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945</v>
      </c>
    </row>
    <row r="10" spans="1:6">
      <c r="A10" s="13" t="s">
        <v>944</v>
      </c>
      <c r="D10" s="21" t="s">
        <v>21</v>
      </c>
      <c r="E10" s="21" t="s">
        <v>943</v>
      </c>
    </row>
    <row r="11" spans="1:6">
      <c r="A11" s="13" t="s">
        <v>942</v>
      </c>
      <c r="D11" s="21" t="s">
        <v>19</v>
      </c>
      <c r="E11" s="21" t="s">
        <v>18</v>
      </c>
    </row>
    <row r="12" spans="1:6">
      <c r="D12" s="21" t="s">
        <v>17</v>
      </c>
      <c r="E12" s="20" t="s">
        <v>941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1:6">
      <c r="C19" s="14" t="s">
        <v>940</v>
      </c>
    </row>
    <row r="20" spans="1:6">
      <c r="C20" s="14" t="s">
        <v>939</v>
      </c>
    </row>
    <row r="21" spans="1:6">
      <c r="C21" s="34"/>
    </row>
    <row r="23" spans="1:6">
      <c r="A23" s="13" t="s">
        <v>938</v>
      </c>
      <c r="C23" s="13" t="s">
        <v>937</v>
      </c>
      <c r="F23" s="1">
        <v>500</v>
      </c>
    </row>
    <row r="24" spans="1:6">
      <c r="C24" s="13"/>
    </row>
    <row r="25" spans="1:6">
      <c r="C25" s="13"/>
    </row>
    <row r="26" spans="1:6">
      <c r="C26" s="13"/>
    </row>
    <row r="27" spans="1:6">
      <c r="C27" s="13"/>
    </row>
    <row r="29" spans="1:6">
      <c r="B29" s="8"/>
    </row>
    <row r="30" spans="1:6">
      <c r="B30" s="8"/>
    </row>
    <row r="31" spans="1:6">
      <c r="B31" s="8"/>
    </row>
    <row r="33" spans="1:6" ht="13.5" thickBot="1">
      <c r="F33" s="12">
        <f>SUM(F20:F32)</f>
        <v>500</v>
      </c>
    </row>
    <row r="34" spans="1:6" ht="13.5" thickTop="1"/>
    <row r="35" spans="1:6" ht="20.100000000000001" customHeight="1">
      <c r="A35" s="11" t="s">
        <v>207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7F4E7-127B-41EB-BF0E-1EB961340A97}">
  <sheetPr codeName="Sheet577"/>
  <dimension ref="A1:Q58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.140625" style="1" customWidth="1"/>
    <col min="4" max="4" width="23" style="1" customWidth="1"/>
    <col min="5" max="5" width="1" style="1" customWidth="1"/>
    <col min="6" max="6" width="13.85546875" style="1" customWidth="1"/>
    <col min="7" max="7" width="9" style="1" customWidth="1"/>
    <col min="8" max="8" width="12.85546875" style="1" customWidth="1"/>
    <col min="9" max="9" width="9.140625" style="1"/>
    <col min="10" max="10" width="21.85546875" style="1" bestFit="1" customWidth="1"/>
    <col min="11" max="11" width="9.42578125" style="1" bestFit="1" customWidth="1"/>
    <col min="12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5">
      <c r="A9" s="111"/>
      <c r="B9" s="111"/>
      <c r="C9" s="111"/>
      <c r="D9" s="111"/>
      <c r="E9" s="111"/>
      <c r="F9" s="112" t="s">
        <v>1127</v>
      </c>
      <c r="G9" s="131" t="s">
        <v>6057</v>
      </c>
      <c r="H9" s="111"/>
      <c r="J9" s="36"/>
      <c r="K9" s="36"/>
    </row>
    <row r="10" spans="1:15">
      <c r="A10" s="111" t="s">
        <v>6059</v>
      </c>
      <c r="B10" s="111"/>
      <c r="C10" s="111"/>
      <c r="D10" s="111"/>
      <c r="E10" s="111"/>
      <c r="F10" s="112" t="s">
        <v>1162</v>
      </c>
      <c r="G10" s="143" t="s">
        <v>6055</v>
      </c>
      <c r="H10" s="111"/>
    </row>
    <row r="11" spans="1:15">
      <c r="A11" s="111" t="s">
        <v>6060</v>
      </c>
      <c r="B11" s="111"/>
      <c r="C11" s="111"/>
      <c r="D11" s="111"/>
      <c r="E11" s="111"/>
      <c r="F11" s="112" t="s">
        <v>1163</v>
      </c>
      <c r="G11" s="132" t="s">
        <v>1094</v>
      </c>
      <c r="H11" s="111"/>
    </row>
    <row r="12" spans="1:15">
      <c r="A12" s="111" t="s">
        <v>6061</v>
      </c>
      <c r="B12" s="111"/>
      <c r="C12" s="111"/>
      <c r="D12" s="111"/>
      <c r="E12" s="111"/>
      <c r="F12" s="112" t="s">
        <v>1135</v>
      </c>
      <c r="G12" s="140" t="s">
        <v>6058</v>
      </c>
      <c r="H12" s="111"/>
    </row>
    <row r="13" spans="1:15">
      <c r="A13" s="111" t="s">
        <v>6062</v>
      </c>
      <c r="B13" s="111"/>
      <c r="C13" s="111"/>
      <c r="D13" s="111"/>
      <c r="E13" s="111"/>
      <c r="F13" s="111"/>
      <c r="G13" s="111"/>
      <c r="H13" s="111"/>
    </row>
    <row r="14" spans="1:15">
      <c r="A14" s="111" t="s">
        <v>6063</v>
      </c>
      <c r="B14" s="111"/>
      <c r="C14" s="111"/>
      <c r="D14" s="111"/>
      <c r="E14" s="111"/>
      <c r="F14" s="111"/>
      <c r="G14" s="111"/>
      <c r="H14" s="111"/>
    </row>
    <row r="15" spans="1:15">
      <c r="A15" s="111" t="s">
        <v>6064</v>
      </c>
      <c r="B15" s="111"/>
      <c r="C15" s="111"/>
      <c r="D15" s="111"/>
      <c r="E15" s="111"/>
      <c r="F15" s="111"/>
      <c r="G15" s="111"/>
      <c r="H15" s="111"/>
    </row>
    <row r="16" spans="1:15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  <c r="L16" s="2" t="s">
        <v>3650</v>
      </c>
      <c r="M16" s="111"/>
      <c r="N16" s="111"/>
      <c r="O16" s="111"/>
    </row>
    <row r="17" spans="1:17">
      <c r="A17" s="111"/>
      <c r="B17" s="111"/>
      <c r="C17" s="111"/>
      <c r="D17" s="111"/>
      <c r="E17" s="111"/>
      <c r="F17" s="111"/>
      <c r="G17" s="111"/>
      <c r="H17" s="111"/>
      <c r="L17" s="111"/>
      <c r="M17" s="111"/>
      <c r="N17" s="111"/>
      <c r="O17" s="111"/>
    </row>
    <row r="18" spans="1:17">
      <c r="A18" s="111"/>
      <c r="B18" s="111"/>
      <c r="C18" s="111"/>
      <c r="D18" s="2" t="s">
        <v>6065</v>
      </c>
      <c r="E18" s="2"/>
      <c r="F18" s="111"/>
      <c r="G18" s="111"/>
      <c r="H18" s="111"/>
      <c r="L18" s="111" t="s">
        <v>4770</v>
      </c>
      <c r="M18" s="111"/>
      <c r="N18" s="111"/>
      <c r="O18" s="111">
        <v>120</v>
      </c>
    </row>
    <row r="19" spans="1:17">
      <c r="A19" s="111"/>
      <c r="B19" s="111"/>
      <c r="C19" s="111"/>
      <c r="D19" s="2" t="s">
        <v>6066</v>
      </c>
      <c r="E19" s="111"/>
      <c r="F19" s="111"/>
      <c r="G19" s="111"/>
      <c r="H19" s="111"/>
      <c r="L19" s="111" t="s">
        <v>4756</v>
      </c>
      <c r="M19" s="111"/>
      <c r="N19" s="111"/>
      <c r="O19" s="111">
        <v>120</v>
      </c>
    </row>
    <row r="20" spans="1:17">
      <c r="A20" s="132"/>
      <c r="B20" s="116"/>
      <c r="C20" s="116"/>
      <c r="D20" s="111"/>
      <c r="E20" s="111"/>
      <c r="F20" s="111"/>
      <c r="G20" s="111"/>
      <c r="H20" s="111"/>
      <c r="L20" s="111" t="s">
        <v>4757</v>
      </c>
      <c r="M20" s="111"/>
      <c r="N20" s="111"/>
      <c r="O20" s="111">
        <v>120</v>
      </c>
    </row>
    <row r="21" spans="1:17">
      <c r="A21" s="158" t="s">
        <v>6056</v>
      </c>
      <c r="B21" s="116" t="s">
        <v>11</v>
      </c>
      <c r="C21" s="116"/>
      <c r="D21" s="111" t="s">
        <v>6068</v>
      </c>
      <c r="E21" s="111"/>
      <c r="F21" s="111"/>
      <c r="G21" s="111"/>
      <c r="H21" s="111">
        <f>1550*9</f>
        <v>13950</v>
      </c>
      <c r="L21" s="111" t="s">
        <v>4758</v>
      </c>
      <c r="M21" s="111"/>
      <c r="N21" s="111"/>
      <c r="O21" s="111">
        <v>120</v>
      </c>
    </row>
    <row r="22" spans="1:17">
      <c r="A22" s="132"/>
      <c r="B22" s="116"/>
      <c r="C22" s="116"/>
      <c r="D22" s="111" t="s">
        <v>6067</v>
      </c>
      <c r="E22" s="111"/>
      <c r="F22" s="111"/>
      <c r="G22" s="111"/>
      <c r="H22" s="111"/>
      <c r="L22" s="111" t="s">
        <v>4759</v>
      </c>
      <c r="M22" s="111"/>
      <c r="N22" s="111"/>
      <c r="O22" s="111">
        <v>120</v>
      </c>
    </row>
    <row r="23" spans="1:17">
      <c r="A23" s="120"/>
      <c r="B23" s="116"/>
      <c r="C23" s="116"/>
      <c r="D23" s="111"/>
      <c r="E23" s="111"/>
      <c r="F23" s="111"/>
      <c r="G23" s="111"/>
      <c r="H23" s="111"/>
      <c r="L23" s="111"/>
      <c r="M23" s="111"/>
      <c r="N23" s="111"/>
      <c r="O23" s="111"/>
    </row>
    <row r="24" spans="1:17">
      <c r="A24" s="111"/>
      <c r="D24" s="111"/>
      <c r="E24" s="111"/>
      <c r="F24" s="111"/>
      <c r="G24" s="111"/>
      <c r="H24" s="111"/>
      <c r="L24" s="111"/>
      <c r="M24" s="111"/>
      <c r="O24" s="111"/>
      <c r="P24" s="111"/>
      <c r="Q24" s="111"/>
    </row>
    <row r="25" spans="1:17">
      <c r="D25" s="111"/>
      <c r="E25" s="111"/>
      <c r="F25" s="111"/>
      <c r="G25" s="111"/>
      <c r="H25" s="111"/>
      <c r="L25" s="111"/>
      <c r="M25" s="111"/>
      <c r="N25" s="111"/>
      <c r="O25" s="111"/>
      <c r="P25" s="111"/>
      <c r="Q25" s="111"/>
    </row>
    <row r="26" spans="1:17">
      <c r="A26" s="116"/>
      <c r="B26" s="116"/>
      <c r="C26" s="116"/>
      <c r="D26" s="111"/>
      <c r="E26" s="111"/>
      <c r="F26" s="111"/>
      <c r="G26" s="111"/>
      <c r="H26" s="111"/>
      <c r="L26" s="116"/>
      <c r="M26" s="116" t="s">
        <v>4771</v>
      </c>
      <c r="N26" s="111" t="s">
        <v>4753</v>
      </c>
      <c r="O26" s="111"/>
      <c r="P26" s="111"/>
      <c r="Q26" s="111">
        <v>90</v>
      </c>
    </row>
    <row r="27" spans="1:17">
      <c r="A27" s="116"/>
      <c r="B27" s="121"/>
      <c r="C27" s="121"/>
      <c r="D27" s="111"/>
      <c r="E27" s="111"/>
      <c r="F27" s="111"/>
      <c r="G27" s="111"/>
      <c r="H27" s="111"/>
      <c r="L27" s="116" t="s">
        <v>4768</v>
      </c>
      <c r="M27" s="116" t="s">
        <v>4769</v>
      </c>
      <c r="N27" s="111" t="s">
        <v>4767</v>
      </c>
      <c r="O27" s="111"/>
      <c r="P27" s="111"/>
      <c r="Q27" s="111">
        <v>90</v>
      </c>
    </row>
    <row r="28" spans="1:17">
      <c r="A28" s="116"/>
      <c r="B28" s="121"/>
      <c r="C28" s="121"/>
      <c r="D28" s="111"/>
      <c r="E28" s="111"/>
      <c r="F28" s="111"/>
      <c r="G28" s="111"/>
      <c r="H28" s="111"/>
      <c r="L28" s="116"/>
      <c r="M28" s="116"/>
      <c r="N28" s="111"/>
      <c r="O28" s="111"/>
      <c r="P28" s="111"/>
      <c r="Q28" s="111"/>
    </row>
    <row r="29" spans="1:17">
      <c r="A29" s="116"/>
      <c r="B29" s="121"/>
      <c r="C29" s="121"/>
      <c r="D29" s="111"/>
      <c r="E29" s="111"/>
      <c r="F29" s="111"/>
      <c r="G29" s="111"/>
      <c r="H29" s="111"/>
      <c r="L29" s="116"/>
      <c r="M29" s="116"/>
      <c r="N29" s="111"/>
      <c r="O29" s="111"/>
      <c r="P29" s="111"/>
      <c r="Q29" s="111"/>
    </row>
    <row r="30" spans="1:17">
      <c r="A30" s="116"/>
      <c r="B30" s="121"/>
      <c r="C30" s="121"/>
      <c r="D30" s="111"/>
      <c r="E30" s="111"/>
      <c r="F30" s="111"/>
      <c r="G30" s="111"/>
      <c r="H30" s="111"/>
      <c r="L30" s="116"/>
      <c r="M30" s="116"/>
      <c r="N30" s="111"/>
      <c r="O30" s="111"/>
      <c r="P30" s="111"/>
      <c r="Q30" s="111"/>
    </row>
    <row r="31" spans="1:17">
      <c r="A31" s="116"/>
      <c r="B31" s="121"/>
      <c r="C31" s="121"/>
      <c r="D31" s="111"/>
      <c r="E31" s="111"/>
      <c r="F31" s="111"/>
      <c r="G31" s="111"/>
      <c r="H31" s="111"/>
      <c r="L31" s="116"/>
      <c r="M31" s="116"/>
      <c r="N31" s="111"/>
      <c r="O31" s="111"/>
      <c r="P31" s="111"/>
      <c r="Q31" s="111"/>
    </row>
    <row r="32" spans="1:17">
      <c r="A32" s="116"/>
      <c r="B32" s="121"/>
      <c r="C32" s="121"/>
      <c r="D32" s="111"/>
      <c r="E32" s="111"/>
      <c r="F32" s="111"/>
      <c r="G32" s="111"/>
      <c r="H32" s="111"/>
      <c r="L32" s="116"/>
      <c r="M32" s="116"/>
      <c r="N32" s="111"/>
      <c r="O32" s="111"/>
      <c r="P32" s="111"/>
      <c r="Q32" s="111"/>
    </row>
    <row r="33" spans="1:17">
      <c r="A33" s="116"/>
      <c r="B33" s="121"/>
      <c r="C33" s="121"/>
      <c r="D33" s="111"/>
      <c r="E33" s="111"/>
      <c r="F33" s="111"/>
      <c r="G33" s="111"/>
      <c r="H33" s="111"/>
      <c r="L33" s="116"/>
      <c r="M33" s="116"/>
      <c r="N33" s="111"/>
      <c r="O33" s="111"/>
      <c r="P33" s="111"/>
      <c r="Q33" s="111"/>
    </row>
    <row r="34" spans="1:17">
      <c r="A34" s="116"/>
      <c r="B34" s="121"/>
      <c r="C34" s="121"/>
      <c r="D34" s="111"/>
      <c r="E34" s="111"/>
      <c r="F34" s="111"/>
      <c r="G34" s="111"/>
      <c r="H34" s="111"/>
      <c r="N34" s="111"/>
      <c r="O34" s="111"/>
      <c r="P34" s="111"/>
      <c r="Q34" s="111"/>
    </row>
    <row r="35" spans="1:17">
      <c r="A35" s="252"/>
      <c r="B35" s="120"/>
      <c r="C35" s="120"/>
      <c r="D35" s="111"/>
      <c r="E35" s="111"/>
      <c r="F35" s="111"/>
      <c r="G35" s="111"/>
      <c r="H35" s="111"/>
    </row>
    <row r="36" spans="1:17">
      <c r="A36" s="148"/>
      <c r="B36" s="111"/>
      <c r="C36" s="111"/>
      <c r="D36" s="111"/>
      <c r="E36" s="111"/>
      <c r="F36" s="111"/>
      <c r="G36" s="111"/>
    </row>
    <row r="37" spans="1:17" ht="13.5" thickBot="1">
      <c r="A37" s="111"/>
      <c r="B37" s="111"/>
      <c r="C37" s="111"/>
      <c r="D37" s="111"/>
      <c r="E37" s="111"/>
      <c r="F37" s="111"/>
      <c r="G37" s="111"/>
      <c r="H37" s="117">
        <f>SUM(H20:H36)</f>
        <v>13950</v>
      </c>
    </row>
    <row r="38" spans="1:17" ht="13.5" thickTop="1">
      <c r="A38" s="111"/>
      <c r="B38" s="111"/>
      <c r="C38" s="111"/>
      <c r="D38" s="111"/>
      <c r="E38" s="111"/>
      <c r="F38" s="111"/>
      <c r="G38" s="111"/>
      <c r="H38" s="111"/>
    </row>
    <row r="39" spans="1:17" ht="20.100000000000001" customHeight="1">
      <c r="A39" s="118" t="s">
        <v>1133</v>
      </c>
      <c r="B39" s="202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Thirteen Thousand Nine Hundred Fifty and NO/100 -----------</v>
      </c>
      <c r="C39" s="202"/>
      <c r="D39" s="119"/>
      <c r="E39" s="119"/>
      <c r="F39" s="119"/>
      <c r="G39" s="119"/>
      <c r="H39" s="119"/>
    </row>
    <row r="40" spans="1:17">
      <c r="A40" s="120" t="s">
        <v>11</v>
      </c>
      <c r="B40" s="111"/>
      <c r="C40" s="111"/>
      <c r="D40" s="111"/>
      <c r="E40" s="111"/>
      <c r="F40" s="111"/>
      <c r="G40" s="111"/>
      <c r="H40" s="111"/>
    </row>
    <row r="41" spans="1:17" ht="25.5">
      <c r="A41" s="126" t="s">
        <v>10</v>
      </c>
      <c r="B41" s="111"/>
      <c r="C41" s="111"/>
      <c r="D41" s="111"/>
      <c r="E41" s="111"/>
      <c r="F41" s="265" t="s">
        <v>2894</v>
      </c>
      <c r="G41" s="266"/>
      <c r="H41" s="267"/>
    </row>
    <row r="42" spans="1:17">
      <c r="A42" s="111"/>
      <c r="B42" s="111"/>
      <c r="C42" s="111"/>
      <c r="D42" s="111"/>
      <c r="E42" s="111"/>
      <c r="F42" s="111"/>
      <c r="G42" s="111"/>
      <c r="H42" s="111"/>
    </row>
    <row r="43" spans="1:17">
      <c r="A43" s="111"/>
      <c r="B43" s="111"/>
      <c r="C43" s="111"/>
      <c r="D43" s="111"/>
      <c r="E43" s="111"/>
      <c r="F43" s="111"/>
      <c r="G43" s="111"/>
      <c r="H43" s="111"/>
    </row>
    <row r="44" spans="1:17">
      <c r="A44" s="111"/>
      <c r="B44" s="111"/>
      <c r="C44" s="111"/>
      <c r="D44" s="121"/>
      <c r="E44" s="121"/>
      <c r="F44" s="111"/>
      <c r="G44" s="111"/>
      <c r="H44" s="111"/>
    </row>
    <row r="45" spans="1:17">
      <c r="A45" s="122"/>
      <c r="B45" s="122"/>
      <c r="C45" s="433"/>
      <c r="D45" s="111"/>
      <c r="E45" s="111"/>
      <c r="F45" s="111"/>
      <c r="G45" s="111"/>
      <c r="H45" s="111"/>
    </row>
    <row r="46" spans="1:17">
      <c r="B46" s="111"/>
      <c r="C46" s="111"/>
      <c r="D46" s="111"/>
      <c r="E46" s="111"/>
      <c r="F46" s="111"/>
      <c r="G46" s="111"/>
      <c r="H46" s="111"/>
    </row>
    <row r="47" spans="1:17">
      <c r="A47" s="123" t="s">
        <v>8</v>
      </c>
      <c r="D47" s="123" t="s">
        <v>8</v>
      </c>
      <c r="E47" s="111"/>
      <c r="F47" s="123" t="s">
        <v>7</v>
      </c>
      <c r="G47" s="111"/>
      <c r="H47" s="124"/>
    </row>
    <row r="48" spans="1:17">
      <c r="A48" s="111"/>
      <c r="B48" s="111"/>
      <c r="C48" s="111"/>
      <c r="D48" s="111"/>
      <c r="E48" s="111"/>
      <c r="F48" s="111"/>
      <c r="G48" s="111"/>
    </row>
    <row r="49" spans="1:9">
      <c r="A49" s="111"/>
      <c r="B49" s="111"/>
      <c r="C49" s="111"/>
      <c r="D49" s="111"/>
      <c r="E49" s="111"/>
      <c r="F49" s="111"/>
      <c r="G49" s="111"/>
      <c r="H49" s="111"/>
      <c r="I49" s="111"/>
    </row>
    <row r="50" spans="1:9">
      <c r="A50" s="111"/>
      <c r="B50" s="111"/>
      <c r="C50" s="111"/>
      <c r="D50" s="111"/>
      <c r="E50" s="111"/>
      <c r="F50" s="111"/>
      <c r="G50" s="111"/>
      <c r="H50" s="111"/>
    </row>
    <row r="51" spans="1:9">
      <c r="A51" s="122"/>
      <c r="B51" s="122"/>
      <c r="C51" s="433"/>
      <c r="D51" s="122"/>
      <c r="E51" s="111"/>
      <c r="F51" s="122"/>
      <c r="G51" s="122"/>
      <c r="H51" s="122"/>
    </row>
    <row r="52" spans="1:9" s="3" customFormat="1" ht="17.100000000000001" customHeight="1">
      <c r="A52" s="151" t="s">
        <v>2948</v>
      </c>
      <c r="B52" s="125"/>
      <c r="C52" s="125"/>
      <c r="D52" s="151" t="s">
        <v>103</v>
      </c>
      <c r="E52" s="126"/>
      <c r="F52" s="126" t="s">
        <v>3</v>
      </c>
      <c r="G52" s="126"/>
      <c r="H52" s="126"/>
    </row>
    <row r="53" spans="1:9">
      <c r="A53" s="111"/>
      <c r="B53" s="111"/>
      <c r="C53" s="111"/>
      <c r="D53" s="111"/>
      <c r="E53" s="111"/>
      <c r="F53" s="111" t="s">
        <v>2</v>
      </c>
      <c r="G53" s="111"/>
      <c r="H53" s="111"/>
    </row>
    <row r="54" spans="1:9">
      <c r="A54" s="111"/>
      <c r="B54" s="111"/>
      <c r="C54" s="111"/>
      <c r="D54" s="111"/>
      <c r="E54" s="111"/>
      <c r="F54" s="111"/>
      <c r="G54" s="111"/>
      <c r="H54" s="111"/>
    </row>
    <row r="55" spans="1:9">
      <c r="A55" s="111"/>
      <c r="B55" s="111"/>
      <c r="C55" s="111"/>
      <c r="D55" s="111"/>
      <c r="E55" s="111"/>
      <c r="F55" s="2" t="s">
        <v>1</v>
      </c>
      <c r="G55" s="111"/>
      <c r="H55" s="111"/>
    </row>
    <row r="56" spans="1:9">
      <c r="A56" s="111"/>
      <c r="B56" s="111"/>
      <c r="C56" s="111"/>
      <c r="D56" s="111"/>
      <c r="E56" s="111"/>
      <c r="F56" s="2" t="s">
        <v>0</v>
      </c>
      <c r="G56" s="111"/>
      <c r="H56" s="111"/>
    </row>
    <row r="57" spans="1:9">
      <c r="A57" s="111"/>
      <c r="B57" s="111"/>
      <c r="C57" s="111"/>
      <c r="D57" s="111"/>
      <c r="E57" s="111"/>
      <c r="F57" s="111"/>
      <c r="G57" s="111"/>
      <c r="H57" s="111"/>
    </row>
    <row r="58" spans="1:9">
      <c r="A58" s="111"/>
      <c r="B58" s="111"/>
      <c r="C58" s="111"/>
      <c r="D58" s="111"/>
      <c r="E58" s="111"/>
      <c r="F58" s="111"/>
      <c r="G58" s="111"/>
      <c r="H58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924FF-63A1-4E35-8CE8-C0310D9880F2}">
  <sheetPr codeName="Sheet578">
    <pageSetUpPr fitToPage="1"/>
  </sheetPr>
  <dimension ref="A1:P65"/>
  <sheetViews>
    <sheetView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0" width="9.140625" style="1"/>
    <col min="11" max="11" width="9.42578125" style="1" bestFit="1" customWidth="1"/>
    <col min="12" max="16384" width="9.140625" style="1"/>
  </cols>
  <sheetData>
    <row r="1" spans="1:10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0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0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0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0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0">
      <c r="A9" s="111"/>
      <c r="B9" s="111"/>
      <c r="C9" s="111"/>
      <c r="D9" s="111"/>
      <c r="E9" s="111"/>
      <c r="F9" s="112" t="s">
        <v>22</v>
      </c>
      <c r="G9" s="111" t="s">
        <v>6102</v>
      </c>
      <c r="H9" s="111"/>
    </row>
    <row r="10" spans="1:10">
      <c r="A10" s="111" t="s">
        <v>6103</v>
      </c>
      <c r="B10" s="111"/>
      <c r="C10" s="111"/>
      <c r="D10" s="111"/>
      <c r="E10" s="111"/>
      <c r="F10" s="112" t="s">
        <v>21</v>
      </c>
      <c r="G10" s="112" t="s">
        <v>6027</v>
      </c>
      <c r="H10" s="111"/>
      <c r="J10" s="21"/>
    </row>
    <row r="11" spans="1:10">
      <c r="A11" s="111" t="s">
        <v>6104</v>
      </c>
      <c r="B11" s="111"/>
      <c r="C11" s="111"/>
      <c r="D11" s="111"/>
      <c r="E11" s="111"/>
      <c r="F11" s="112" t="s">
        <v>19</v>
      </c>
      <c r="G11" s="112" t="s">
        <v>1094</v>
      </c>
      <c r="H11" s="111"/>
      <c r="J11" s="336"/>
    </row>
    <row r="12" spans="1:10">
      <c r="A12" s="111" t="s">
        <v>6105</v>
      </c>
      <c r="B12" s="111"/>
      <c r="C12" s="111"/>
      <c r="D12" s="111"/>
      <c r="E12" s="111"/>
      <c r="F12" s="112" t="s">
        <v>17</v>
      </c>
      <c r="G12" s="112" t="s">
        <v>1270</v>
      </c>
      <c r="H12" s="111"/>
    </row>
    <row r="13" spans="1:10">
      <c r="A13" s="111"/>
      <c r="B13" s="111"/>
      <c r="C13" s="111"/>
      <c r="D13" s="111"/>
      <c r="E13" s="111"/>
      <c r="F13" s="111"/>
      <c r="G13" s="111"/>
      <c r="H13" s="111"/>
    </row>
    <row r="14" spans="1:10">
      <c r="A14" s="111"/>
      <c r="B14" s="111"/>
      <c r="C14" s="111"/>
      <c r="D14" s="111"/>
      <c r="E14" s="111"/>
      <c r="F14" s="111"/>
      <c r="G14" s="111"/>
      <c r="H14" s="111"/>
    </row>
    <row r="15" spans="1:10">
      <c r="A15" s="111"/>
      <c r="B15" s="111"/>
      <c r="C15" s="111"/>
      <c r="D15" s="111"/>
      <c r="E15" s="111"/>
      <c r="F15" s="111"/>
      <c r="G15" s="111"/>
      <c r="H15" s="111"/>
    </row>
    <row r="16" spans="1:10" s="15" customFormat="1" ht="20.100000000000001" customHeight="1">
      <c r="A16" s="18" t="s">
        <v>1140</v>
      </c>
      <c r="B16" s="469" t="s">
        <v>1098</v>
      </c>
      <c r="C16" s="469"/>
      <c r="D16" s="19" t="s">
        <v>14</v>
      </c>
      <c r="E16" s="19"/>
      <c r="F16" s="18"/>
      <c r="G16" s="17"/>
      <c r="H16" s="16" t="s">
        <v>13</v>
      </c>
    </row>
    <row r="17" spans="1:16">
      <c r="A17" s="111"/>
      <c r="B17" s="111"/>
      <c r="C17" s="111"/>
      <c r="D17" s="111"/>
      <c r="E17" s="111"/>
      <c r="F17" s="111"/>
      <c r="G17" s="111"/>
      <c r="H17" s="111"/>
    </row>
    <row r="18" spans="1:16">
      <c r="A18" s="111"/>
      <c r="B18" s="111"/>
      <c r="C18" s="111"/>
      <c r="D18" s="2" t="s">
        <v>6106</v>
      </c>
      <c r="E18" s="2"/>
      <c r="F18" s="111"/>
      <c r="G18" s="111"/>
      <c r="H18" s="111"/>
      <c r="K18" s="337"/>
      <c r="L18" s="111"/>
      <c r="M18" s="111"/>
      <c r="N18" s="111"/>
      <c r="O18" s="111"/>
      <c r="P18" s="111"/>
    </row>
    <row r="19" spans="1:16">
      <c r="A19" s="111"/>
      <c r="B19" s="473" t="s">
        <v>1920</v>
      </c>
      <c r="C19" s="111"/>
      <c r="D19" s="2"/>
      <c r="E19" s="2"/>
      <c r="F19" s="111"/>
      <c r="G19" s="111"/>
      <c r="H19" s="111"/>
      <c r="L19" s="111"/>
      <c r="M19" s="111"/>
      <c r="N19" s="111"/>
      <c r="O19" s="111"/>
      <c r="P19" s="111"/>
    </row>
    <row r="20" spans="1:16">
      <c r="A20" s="116" t="s">
        <v>6056</v>
      </c>
      <c r="B20" s="335" t="s">
        <v>6107</v>
      </c>
      <c r="C20" s="116"/>
      <c r="D20" s="111" t="s">
        <v>6108</v>
      </c>
      <c r="E20" s="111"/>
      <c r="F20" s="111"/>
      <c r="G20" s="111"/>
      <c r="H20" s="111">
        <v>21694.47</v>
      </c>
      <c r="L20" s="111"/>
      <c r="P20" s="111"/>
    </row>
    <row r="21" spans="1:16">
      <c r="A21" s="111"/>
      <c r="B21" s="120"/>
      <c r="C21" s="120"/>
      <c r="D21" s="111" t="s">
        <v>6109</v>
      </c>
      <c r="E21" s="111"/>
      <c r="F21" s="111"/>
      <c r="G21" s="111"/>
      <c r="H21" s="111">
        <v>35253.5</v>
      </c>
      <c r="L21" s="111"/>
      <c r="N21" s="111"/>
      <c r="O21" s="111"/>
      <c r="P21" s="111"/>
    </row>
    <row r="22" spans="1:16">
      <c r="A22" s="116"/>
      <c r="B22" s="335"/>
      <c r="C22" s="116"/>
      <c r="D22" s="111" t="s">
        <v>6110</v>
      </c>
      <c r="H22" s="111">
        <v>35253.5</v>
      </c>
      <c r="L22" s="111"/>
      <c r="M22" s="111"/>
      <c r="N22" s="111"/>
      <c r="O22" s="111"/>
      <c r="P22" s="111"/>
    </row>
    <row r="23" spans="1:16">
      <c r="A23" s="111"/>
      <c r="B23" s="120"/>
      <c r="C23" s="120"/>
      <c r="D23" s="111"/>
      <c r="F23" s="111"/>
      <c r="G23" s="111"/>
      <c r="H23" s="111"/>
      <c r="L23" s="111"/>
      <c r="M23" s="111"/>
      <c r="N23" s="111"/>
      <c r="O23" s="111"/>
      <c r="P23" s="111"/>
    </row>
    <row r="24" spans="1:16">
      <c r="A24" s="116"/>
      <c r="B24" s="335"/>
      <c r="C24" s="116"/>
      <c r="D24" s="111" t="s">
        <v>6111</v>
      </c>
      <c r="E24" s="111"/>
      <c r="F24" s="111"/>
      <c r="G24" s="111"/>
      <c r="H24" s="111"/>
      <c r="L24" s="111"/>
      <c r="M24" s="111"/>
      <c r="P24" s="111"/>
    </row>
    <row r="25" spans="1:16">
      <c r="A25" s="116"/>
      <c r="B25" s="473"/>
      <c r="C25" s="111"/>
      <c r="D25" s="111"/>
      <c r="E25" s="111"/>
      <c r="F25" s="111"/>
      <c r="G25" s="111"/>
      <c r="H25" s="111"/>
    </row>
    <row r="26" spans="1:16">
      <c r="A26" s="111"/>
      <c r="B26" s="120"/>
      <c r="C26" s="120"/>
      <c r="D26" s="111" t="s">
        <v>1697</v>
      </c>
      <c r="E26" s="111"/>
      <c r="H26" s="111">
        <v>10</v>
      </c>
      <c r="L26" s="111"/>
      <c r="M26" s="111"/>
      <c r="N26" s="111"/>
      <c r="O26" s="111"/>
      <c r="P26" s="111"/>
    </row>
    <row r="27" spans="1:16">
      <c r="A27" s="111"/>
      <c r="B27" s="111"/>
      <c r="C27" s="111"/>
      <c r="D27" s="111"/>
    </row>
    <row r="28" spans="1:16">
      <c r="A28" s="111"/>
      <c r="B28" s="111"/>
      <c r="C28" s="111"/>
      <c r="D28" s="111"/>
      <c r="E28" s="111"/>
      <c r="F28" s="111"/>
      <c r="G28" s="111"/>
      <c r="H28" s="111"/>
    </row>
    <row r="29" spans="1:16">
      <c r="A29" s="111"/>
      <c r="B29" s="111"/>
      <c r="C29" s="111"/>
      <c r="D29" s="111"/>
      <c r="F29" s="111"/>
      <c r="G29" s="111"/>
      <c r="H29" s="111"/>
    </row>
    <row r="30" spans="1:16">
      <c r="A30" s="111"/>
      <c r="B30" s="120"/>
      <c r="C30" s="120"/>
      <c r="D30" s="111"/>
      <c r="E30" s="167"/>
      <c r="F30" s="111"/>
      <c r="G30" s="111"/>
      <c r="H30" s="111"/>
    </row>
    <row r="31" spans="1:16">
      <c r="A31" s="111"/>
      <c r="B31" s="111"/>
      <c r="C31" s="111"/>
    </row>
    <row r="32" spans="1:16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11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SUM(H18:H33)</f>
        <v>92211.47</v>
      </c>
    </row>
    <row r="36" spans="1:8" ht="13.5" thickTop="1">
      <c r="A36" s="111"/>
      <c r="B36" s="111"/>
      <c r="C36" s="111"/>
      <c r="D36" s="111"/>
      <c r="E36" s="111"/>
    </row>
    <row r="37" spans="1: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Ninety-Two Thousand Two Hundred Eleven and 47/100 -----------</v>
      </c>
      <c r="C37" s="204"/>
      <c r="D37" s="119"/>
      <c r="E37" s="119"/>
      <c r="F37" s="119"/>
      <c r="G37" s="119"/>
      <c r="H37" s="119"/>
    </row>
    <row r="38" spans="1:8" ht="20.100000000000001" customHeight="1">
      <c r="A38" s="160"/>
      <c r="B38" s="145"/>
      <c r="C38" s="145"/>
      <c r="D38" s="126"/>
      <c r="E38" s="126"/>
      <c r="F38" s="126"/>
      <c r="G38" s="126"/>
      <c r="H38" s="126"/>
    </row>
    <row r="39" spans="1:8" ht="25.5">
      <c r="A39" s="120" t="s">
        <v>3060</v>
      </c>
      <c r="B39" s="111"/>
      <c r="C39" s="111"/>
      <c r="D39" s="44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433"/>
      <c r="E40" s="111"/>
      <c r="F40" s="310"/>
      <c r="G40" s="311"/>
      <c r="H40" s="311"/>
    </row>
    <row r="41" spans="1:8">
      <c r="B41" s="111"/>
      <c r="C41" s="111"/>
      <c r="D41" s="433"/>
      <c r="E41" s="111"/>
      <c r="F41" s="111"/>
      <c r="G41" s="111"/>
      <c r="H41" s="111"/>
    </row>
    <row r="42" spans="1:8">
      <c r="A42" s="111"/>
      <c r="B42" s="111"/>
      <c r="C42" s="111"/>
      <c r="D42" s="433"/>
      <c r="E42" s="111"/>
      <c r="F42" s="111"/>
      <c r="G42" s="111"/>
      <c r="H42" s="111"/>
    </row>
    <row r="43" spans="1:8">
      <c r="A43" s="122"/>
      <c r="B43" s="122"/>
      <c r="C43" s="111"/>
      <c r="D43" s="433"/>
      <c r="E43" s="111"/>
      <c r="F43" s="111"/>
      <c r="G43" s="111"/>
      <c r="H43" s="111"/>
    </row>
    <row r="44" spans="1:8">
      <c r="A44" s="111"/>
      <c r="B44" s="111"/>
      <c r="C44" s="111"/>
      <c r="D44" s="442"/>
      <c r="E44" s="111"/>
      <c r="F44" s="111"/>
      <c r="G44" s="111"/>
      <c r="H44" s="111"/>
    </row>
    <row r="45" spans="1:8">
      <c r="A45" s="111"/>
      <c r="B45" s="111"/>
      <c r="C45" s="111"/>
      <c r="D45" s="151"/>
      <c r="E45" s="111"/>
      <c r="F45" s="111"/>
      <c r="G45" s="111"/>
      <c r="H45" s="111"/>
    </row>
    <row r="46" spans="1:8">
      <c r="A46" s="123" t="s">
        <v>8</v>
      </c>
      <c r="B46" s="111"/>
      <c r="C46" s="111"/>
      <c r="D46" s="123" t="s">
        <v>8</v>
      </c>
      <c r="E46" s="111"/>
      <c r="F46" s="123" t="s">
        <v>7</v>
      </c>
      <c r="G46" s="111"/>
      <c r="H46" s="124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22"/>
      <c r="B50" s="122"/>
      <c r="C50" s="111"/>
      <c r="D50" s="122"/>
      <c r="E50" s="111"/>
      <c r="F50" s="122"/>
      <c r="G50" s="122"/>
      <c r="H50" s="122"/>
    </row>
    <row r="51" spans="1:8" s="3" customFormat="1" ht="17.100000000000001" customHeight="1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</row>
    <row r="52" spans="1:8">
      <c r="A52" s="111"/>
      <c r="B52" s="111"/>
      <c r="C52" s="111"/>
      <c r="D52" s="111"/>
      <c r="E52" s="111"/>
      <c r="F52" s="111" t="s">
        <v>2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2" t="s">
        <v>1</v>
      </c>
      <c r="G54" s="111"/>
      <c r="H54" s="111"/>
    </row>
    <row r="55" spans="1:8">
      <c r="A55" s="111"/>
      <c r="B55" s="111"/>
      <c r="C55" s="111"/>
      <c r="D55" s="111"/>
      <c r="E55" s="111"/>
      <c r="F55" s="2" t="s">
        <v>0</v>
      </c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  <row r="65" spans="1:8">
      <c r="A65" s="111"/>
      <c r="B65" s="111"/>
      <c r="C65" s="111"/>
      <c r="D65" s="111"/>
      <c r="E65" s="111"/>
      <c r="F65" s="111"/>
      <c r="G65" s="111"/>
      <c r="H65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Sheet432">
    <pageSetUpPr fitToPage="1"/>
  </sheetPr>
  <dimension ref="A1:K64"/>
  <sheetViews>
    <sheetView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0" width="9.140625" style="1"/>
    <col min="11" max="11" width="12.85546875" style="1" bestFit="1" customWidth="1"/>
    <col min="12" max="16384" width="9.140625" style="1"/>
  </cols>
  <sheetData>
    <row r="1" spans="1:10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0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0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0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0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0">
      <c r="A9" s="111"/>
      <c r="B9" s="111"/>
      <c r="C9" s="111"/>
      <c r="D9" s="111"/>
      <c r="E9" s="111"/>
      <c r="F9" s="112" t="s">
        <v>22</v>
      </c>
      <c r="G9" s="111" t="s">
        <v>4085</v>
      </c>
      <c r="H9" s="111"/>
    </row>
    <row r="10" spans="1:10">
      <c r="A10" s="111" t="s">
        <v>4009</v>
      </c>
      <c r="B10" s="111"/>
      <c r="C10" s="111"/>
      <c r="D10" s="111"/>
      <c r="E10" s="111"/>
      <c r="F10" s="112" t="s">
        <v>21</v>
      </c>
      <c r="G10" s="112" t="s">
        <v>4086</v>
      </c>
      <c r="H10" s="111"/>
      <c r="J10" s="21"/>
    </row>
    <row r="11" spans="1:10">
      <c r="A11" s="111" t="s">
        <v>4010</v>
      </c>
      <c r="B11" s="111"/>
      <c r="C11" s="111"/>
      <c r="D11" s="111"/>
      <c r="E11" s="111"/>
      <c r="F11" s="112" t="s">
        <v>19</v>
      </c>
      <c r="G11" s="112" t="s">
        <v>1094</v>
      </c>
      <c r="H11" s="111"/>
      <c r="J11" s="336"/>
    </row>
    <row r="12" spans="1:10">
      <c r="A12" s="111" t="s">
        <v>4011</v>
      </c>
      <c r="B12" s="111"/>
      <c r="C12" s="111"/>
      <c r="D12" s="111"/>
      <c r="E12" s="111"/>
      <c r="F12" s="112" t="s">
        <v>17</v>
      </c>
      <c r="G12" s="112" t="s">
        <v>1270</v>
      </c>
      <c r="H12" s="111"/>
    </row>
    <row r="13" spans="1:10">
      <c r="A13" s="111" t="s">
        <v>4012</v>
      </c>
      <c r="B13" s="111"/>
      <c r="C13" s="111"/>
      <c r="D13" s="111"/>
      <c r="E13" s="111"/>
      <c r="F13" s="111"/>
      <c r="G13" s="111"/>
      <c r="H13" s="111"/>
    </row>
    <row r="14" spans="1:10">
      <c r="A14" s="111"/>
      <c r="B14" s="111"/>
      <c r="C14" s="111"/>
      <c r="D14" s="111"/>
      <c r="E14" s="111"/>
      <c r="F14" s="111"/>
      <c r="G14" s="111"/>
      <c r="H14" s="111"/>
    </row>
    <row r="15" spans="1:10">
      <c r="A15" s="111"/>
      <c r="B15" s="111"/>
      <c r="C15" s="111"/>
      <c r="D15" s="111"/>
      <c r="E15" s="111"/>
      <c r="F15" s="111"/>
      <c r="G15" s="111"/>
      <c r="H15" s="111"/>
    </row>
    <row r="16" spans="1:10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11">
      <c r="A17" s="111"/>
      <c r="B17" s="111"/>
      <c r="C17" s="111"/>
      <c r="D17" s="111"/>
      <c r="E17" s="111"/>
      <c r="F17" s="111"/>
      <c r="G17" s="111"/>
      <c r="H17" s="111"/>
    </row>
    <row r="18" spans="1:11">
      <c r="A18" s="111"/>
      <c r="B18" s="111"/>
      <c r="C18" s="111"/>
      <c r="D18" s="2" t="s">
        <v>4013</v>
      </c>
      <c r="E18" s="2"/>
      <c r="F18" s="111"/>
      <c r="G18" s="111"/>
      <c r="H18" s="111"/>
      <c r="K18" s="337"/>
    </row>
    <row r="19" spans="1:11">
      <c r="A19" s="111"/>
      <c r="B19" s="111"/>
      <c r="C19" s="111"/>
      <c r="D19" s="2"/>
      <c r="E19" s="2"/>
      <c r="F19" s="111"/>
      <c r="G19" s="111"/>
      <c r="H19" s="111"/>
    </row>
    <row r="20" spans="1:11">
      <c r="A20" s="116" t="s">
        <v>4087</v>
      </c>
      <c r="B20" s="335" t="s">
        <v>4090</v>
      </c>
      <c r="C20" s="116"/>
      <c r="D20" s="111" t="s">
        <v>4014</v>
      </c>
      <c r="E20" s="111"/>
      <c r="F20" s="111"/>
      <c r="G20" s="111"/>
      <c r="H20" s="111">
        <f>51156000*0.00035099996</f>
        <v>17955.753953760002</v>
      </c>
    </row>
    <row r="21" spans="1:11">
      <c r="A21" s="111"/>
      <c r="B21" s="120"/>
      <c r="C21" s="120"/>
      <c r="D21" s="111" t="s">
        <v>4088</v>
      </c>
      <c r="E21" s="111"/>
      <c r="F21" s="111"/>
      <c r="G21" s="111"/>
      <c r="H21" s="111"/>
    </row>
    <row r="22" spans="1:11">
      <c r="A22" s="116"/>
      <c r="B22" s="116"/>
      <c r="C22" s="116"/>
      <c r="D22" s="111"/>
      <c r="F22" s="111"/>
      <c r="G22" s="111"/>
      <c r="H22" s="111"/>
    </row>
    <row r="23" spans="1:11">
      <c r="A23" s="116" t="s">
        <v>4087</v>
      </c>
      <c r="B23" s="335" t="s">
        <v>4089</v>
      </c>
      <c r="C23" s="120"/>
      <c r="D23" s="111" t="s">
        <v>4091</v>
      </c>
      <c r="E23" s="111"/>
      <c r="F23" s="111"/>
      <c r="G23" s="111"/>
      <c r="H23" s="111">
        <f>5006000*0.00035099996</f>
        <v>1757.1057997600001</v>
      </c>
    </row>
    <row r="24" spans="1:11">
      <c r="A24" s="116"/>
      <c r="B24" s="116"/>
      <c r="C24" s="116"/>
      <c r="D24" s="111" t="s">
        <v>4092</v>
      </c>
      <c r="E24" s="111"/>
      <c r="F24" s="111"/>
      <c r="G24" s="111"/>
      <c r="H24" s="111"/>
    </row>
    <row r="25" spans="1:11">
      <c r="A25" s="111"/>
      <c r="B25" s="111"/>
      <c r="C25" s="111"/>
      <c r="D25" s="111" t="s">
        <v>2831</v>
      </c>
      <c r="H25" s="111">
        <v>20</v>
      </c>
    </row>
    <row r="26" spans="1:11">
      <c r="A26" s="111"/>
      <c r="B26" s="120"/>
      <c r="C26" s="120"/>
      <c r="D26" s="111"/>
      <c r="E26" s="111"/>
    </row>
    <row r="27" spans="1:11">
      <c r="A27" s="111"/>
      <c r="B27" s="111"/>
      <c r="C27" s="111"/>
      <c r="D27" s="111" t="s">
        <v>1814</v>
      </c>
      <c r="H27" s="111">
        <v>1.2</v>
      </c>
    </row>
    <row r="28" spans="1:11">
      <c r="A28" s="111"/>
      <c r="B28" s="111"/>
      <c r="C28" s="111"/>
      <c r="D28" s="111"/>
      <c r="E28" s="111"/>
      <c r="F28" s="111"/>
      <c r="G28" s="111"/>
      <c r="H28" s="111"/>
    </row>
    <row r="29" spans="1:11">
      <c r="A29" s="111"/>
      <c r="B29" s="111"/>
      <c r="C29" s="111"/>
      <c r="F29" s="111"/>
      <c r="G29" s="111"/>
      <c r="H29" s="111"/>
    </row>
    <row r="30" spans="1:11">
      <c r="A30" s="111"/>
      <c r="B30" s="120"/>
      <c r="C30" s="120"/>
      <c r="D30" s="167"/>
      <c r="E30" s="167"/>
      <c r="F30" s="111"/>
      <c r="G30" s="111"/>
      <c r="H30" s="111"/>
    </row>
    <row r="31" spans="1:11">
      <c r="A31" s="111"/>
      <c r="B31" s="111"/>
      <c r="C31" s="111"/>
    </row>
    <row r="32" spans="1:11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11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SUM(H18:H33)</f>
        <v>19734.059753520003</v>
      </c>
    </row>
    <row r="36" spans="1:8" ht="13.5" thickTop="1">
      <c r="A36" s="111"/>
      <c r="B36" s="111"/>
      <c r="C36" s="111"/>
      <c r="D36" s="111"/>
      <c r="E36" s="111"/>
    </row>
    <row r="37" spans="1: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Nineteen Thousand Seven Hundred Thirty-Four and 6/100 -----------</v>
      </c>
      <c r="C37" s="204"/>
      <c r="D37" s="119"/>
      <c r="E37" s="119"/>
      <c r="F37" s="119"/>
      <c r="G37" s="119"/>
      <c r="H37" s="119"/>
    </row>
    <row r="38" spans="1:8" ht="20.100000000000001" customHeight="1">
      <c r="A38" s="160"/>
      <c r="B38" s="145"/>
      <c r="C38" s="145"/>
      <c r="D38" s="126"/>
      <c r="E38" s="126"/>
      <c r="F38" s="126"/>
      <c r="G38" s="126"/>
      <c r="H38" s="126"/>
    </row>
    <row r="39" spans="1:8" ht="25.5">
      <c r="A39" s="120" t="s">
        <v>3060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310"/>
      <c r="G40" s="311"/>
      <c r="H40" s="311"/>
    </row>
    <row r="41" spans="1:8"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22C5-802D-45E7-BDE5-D0B6A98483DF}">
  <sheetPr codeName="Sheet509">
    <pageSetUpPr fitToPage="1"/>
  </sheetPr>
  <dimension ref="A1:K64"/>
  <sheetViews>
    <sheetView topLeftCell="A37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0" width="9.140625" style="1"/>
    <col min="11" max="11" width="12.85546875" style="1" bestFit="1" customWidth="1"/>
    <col min="12" max="16384" width="9.140625" style="1"/>
  </cols>
  <sheetData>
    <row r="1" spans="1:10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0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0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0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0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0">
      <c r="A9" s="111"/>
      <c r="B9" s="111"/>
      <c r="C9" s="111"/>
      <c r="D9" s="111"/>
      <c r="E9" s="111"/>
      <c r="F9" s="112" t="s">
        <v>22</v>
      </c>
      <c r="G9" s="131" t="s">
        <v>5940</v>
      </c>
      <c r="H9" s="111"/>
    </row>
    <row r="10" spans="1:10">
      <c r="A10" s="111" t="s">
        <v>5083</v>
      </c>
      <c r="B10" s="111"/>
      <c r="C10" s="111"/>
      <c r="D10" s="111"/>
      <c r="E10" s="111"/>
      <c r="F10" s="112" t="s">
        <v>21</v>
      </c>
      <c r="G10" s="131" t="s">
        <v>5938</v>
      </c>
      <c r="H10" s="111"/>
      <c r="J10" s="21"/>
    </row>
    <row r="11" spans="1:10">
      <c r="A11" s="111" t="s">
        <v>3920</v>
      </c>
      <c r="B11" s="111"/>
      <c r="C11" s="111"/>
      <c r="D11" s="111"/>
      <c r="E11" s="111"/>
      <c r="F11" s="112" t="s">
        <v>19</v>
      </c>
      <c r="G11" s="131" t="s">
        <v>2023</v>
      </c>
      <c r="H11" s="111"/>
      <c r="J11" s="336"/>
    </row>
    <row r="12" spans="1:10">
      <c r="A12" s="111" t="s">
        <v>5084</v>
      </c>
      <c r="B12" s="111"/>
      <c r="C12" s="111"/>
      <c r="D12" s="111"/>
      <c r="E12" s="111"/>
      <c r="F12" s="112" t="s">
        <v>17</v>
      </c>
      <c r="G12" s="131" t="s">
        <v>1270</v>
      </c>
      <c r="H12" s="111"/>
    </row>
    <row r="13" spans="1:10">
      <c r="A13" s="111" t="s">
        <v>5085</v>
      </c>
      <c r="B13" s="111"/>
      <c r="C13" s="111"/>
      <c r="D13" s="111"/>
      <c r="E13" s="111"/>
      <c r="F13" s="111"/>
      <c r="G13" s="111"/>
      <c r="H13" s="111"/>
    </row>
    <row r="14" spans="1:10">
      <c r="A14" s="111" t="s">
        <v>5086</v>
      </c>
      <c r="B14" s="111"/>
      <c r="C14" s="111"/>
      <c r="D14" s="111"/>
      <c r="E14" s="111"/>
      <c r="F14" s="111"/>
      <c r="G14" s="111"/>
      <c r="H14" s="111"/>
    </row>
    <row r="15" spans="1:10">
      <c r="A15" s="111"/>
      <c r="B15" s="111"/>
      <c r="C15" s="111"/>
      <c r="D15" s="111"/>
      <c r="E15" s="111"/>
      <c r="F15" s="111"/>
      <c r="G15" s="111"/>
      <c r="H15" s="111"/>
    </row>
    <row r="16" spans="1:10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11">
      <c r="A17" s="111"/>
      <c r="B17" s="111"/>
      <c r="C17" s="111"/>
      <c r="D17" s="111"/>
      <c r="E17" s="111"/>
      <c r="F17" s="111"/>
      <c r="G17" s="111"/>
      <c r="H17" s="111"/>
    </row>
    <row r="18" spans="1:11">
      <c r="A18" s="111"/>
      <c r="B18" s="111"/>
      <c r="C18" s="111"/>
      <c r="D18" s="2" t="s">
        <v>3096</v>
      </c>
      <c r="E18" s="2"/>
      <c r="F18" s="111"/>
      <c r="G18" s="111"/>
      <c r="H18" s="111"/>
      <c r="K18" s="337"/>
    </row>
    <row r="19" spans="1:11">
      <c r="A19" s="111"/>
      <c r="B19" s="111"/>
      <c r="C19" s="111"/>
      <c r="D19" s="2"/>
      <c r="E19" s="2"/>
      <c r="F19" s="111"/>
      <c r="G19" s="111"/>
      <c r="H19" s="111"/>
    </row>
    <row r="20" spans="1:11">
      <c r="A20" s="116" t="s">
        <v>5888</v>
      </c>
      <c r="B20" s="335" t="s">
        <v>5941</v>
      </c>
      <c r="C20" s="116"/>
      <c r="D20" s="111" t="s">
        <v>5942</v>
      </c>
      <c r="E20" s="111"/>
      <c r="F20" s="111"/>
      <c r="G20" s="111"/>
      <c r="H20" s="111">
        <f>7100*4.2537</f>
        <v>30201.27</v>
      </c>
    </row>
    <row r="21" spans="1:11">
      <c r="A21" s="111"/>
      <c r="B21" s="120"/>
      <c r="C21" s="120"/>
      <c r="D21" s="111" t="s">
        <v>1697</v>
      </c>
      <c r="E21" s="111"/>
      <c r="F21" s="111"/>
      <c r="G21" s="111"/>
      <c r="H21" s="111">
        <v>30</v>
      </c>
    </row>
    <row r="22" spans="1:11">
      <c r="A22" s="116"/>
      <c r="B22" s="116"/>
      <c r="C22" s="116"/>
      <c r="D22" s="111" t="s">
        <v>5943</v>
      </c>
      <c r="F22" s="111"/>
      <c r="G22" s="111"/>
      <c r="H22" s="111"/>
    </row>
    <row r="23" spans="1:11">
      <c r="A23" s="116"/>
      <c r="B23" s="335"/>
      <c r="C23" s="120"/>
      <c r="D23" s="111"/>
      <c r="E23" s="111"/>
      <c r="F23" s="111"/>
      <c r="G23" s="111"/>
      <c r="H23" s="111"/>
    </row>
    <row r="24" spans="1:11">
      <c r="A24" s="116"/>
      <c r="B24" s="116"/>
      <c r="C24" s="116"/>
      <c r="D24" s="111"/>
      <c r="E24" s="111"/>
      <c r="F24" s="111"/>
      <c r="G24" s="111"/>
      <c r="H24" s="111"/>
    </row>
    <row r="25" spans="1:11">
      <c r="A25" s="111"/>
      <c r="B25" s="111"/>
      <c r="C25" s="111"/>
      <c r="D25" s="111"/>
      <c r="H25" s="111"/>
    </row>
    <row r="26" spans="1:11">
      <c r="A26" s="111"/>
      <c r="B26" s="120"/>
      <c r="C26" s="120"/>
      <c r="D26" s="111"/>
      <c r="E26" s="111"/>
    </row>
    <row r="27" spans="1:11">
      <c r="A27" s="111"/>
      <c r="B27" s="111"/>
      <c r="C27" s="111"/>
      <c r="D27" s="111"/>
      <c r="H27" s="111"/>
    </row>
    <row r="28" spans="1:11">
      <c r="A28" s="111"/>
      <c r="B28" s="111"/>
      <c r="C28" s="111"/>
      <c r="D28" s="111"/>
      <c r="E28" s="111"/>
      <c r="F28" s="111"/>
      <c r="G28" s="111"/>
      <c r="H28" s="111"/>
    </row>
    <row r="29" spans="1:11">
      <c r="A29" s="111"/>
      <c r="B29" s="111"/>
      <c r="C29" s="111"/>
      <c r="F29" s="111"/>
      <c r="G29" s="111"/>
      <c r="H29" s="111"/>
    </row>
    <row r="30" spans="1:11">
      <c r="A30" s="111"/>
      <c r="B30" s="120"/>
      <c r="C30" s="120"/>
      <c r="D30" s="167"/>
      <c r="E30" s="167"/>
      <c r="F30" s="111"/>
      <c r="G30" s="111"/>
      <c r="H30" s="111"/>
    </row>
    <row r="31" spans="1:11">
      <c r="A31" s="111"/>
      <c r="B31" s="111"/>
      <c r="C31" s="111"/>
    </row>
    <row r="32" spans="1:11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11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SUM(H18:H33)</f>
        <v>30231.27</v>
      </c>
    </row>
    <row r="36" spans="1:8" ht="13.5" thickTop="1">
      <c r="A36" s="111"/>
      <c r="B36" s="111"/>
      <c r="C36" s="111"/>
      <c r="D36" s="111"/>
      <c r="E36" s="111"/>
    </row>
    <row r="37" spans="1: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 Thousand Two Hundred Thirty-One and 27/100 -----------</v>
      </c>
      <c r="C37" s="204"/>
      <c r="D37" s="119"/>
      <c r="E37" s="119"/>
      <c r="F37" s="119"/>
      <c r="G37" s="119"/>
      <c r="H37" s="119"/>
    </row>
    <row r="38" spans="1:8" ht="20.100000000000001" customHeight="1">
      <c r="A38" s="160"/>
      <c r="B38" s="145"/>
      <c r="C38" s="145"/>
      <c r="D38" s="126"/>
      <c r="E38" s="126"/>
      <c r="F38" s="126"/>
      <c r="G38" s="126"/>
      <c r="H38" s="126"/>
    </row>
    <row r="39" spans="1:8" ht="25.5">
      <c r="A39" s="120" t="s">
        <v>3060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310"/>
      <c r="G40" s="311"/>
      <c r="H40" s="311"/>
    </row>
    <row r="41" spans="1:8"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8DE12-55E3-4134-B1E0-4CCBF0430605}">
  <sheetPr codeName="Sheet589"/>
  <dimension ref="A1:R65"/>
  <sheetViews>
    <sheetView view="pageBreakPreview" zoomScale="115" zoomScaleNormal="100" zoomScaleSheetLayoutView="115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4.7109375" style="1" customWidth="1"/>
    <col min="7" max="7" width="10.140625" style="1" customWidth="1"/>
    <col min="8" max="8" width="12.85546875" style="1" customWidth="1"/>
    <col min="9" max="14" width="9.140625" style="1"/>
    <col min="15" max="15" width="10.5703125" style="1" bestFit="1" customWidth="1"/>
    <col min="16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  <c r="K3" s="111"/>
      <c r="L3" s="111"/>
      <c r="M3" s="111"/>
      <c r="N3" s="111"/>
      <c r="O3" s="111"/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  <c r="K4" s="111"/>
      <c r="O4" s="111"/>
    </row>
    <row r="5" spans="1:15">
      <c r="K5" s="167"/>
      <c r="O5" s="111"/>
    </row>
    <row r="7" spans="1:15">
      <c r="K7" s="111"/>
      <c r="O7" s="111"/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  <c r="K8" s="111"/>
      <c r="L8" s="111"/>
      <c r="M8" s="111"/>
      <c r="N8" s="111"/>
      <c r="O8" s="111"/>
    </row>
    <row r="9" spans="1:15">
      <c r="A9" s="111"/>
      <c r="B9" s="111"/>
      <c r="C9" s="111"/>
      <c r="D9" s="111"/>
      <c r="E9" s="111"/>
      <c r="F9" s="112" t="s">
        <v>22</v>
      </c>
      <c r="G9" s="126" t="s">
        <v>6472</v>
      </c>
      <c r="H9" s="111"/>
      <c r="K9" s="111"/>
      <c r="L9" s="111"/>
      <c r="M9" s="111"/>
      <c r="N9" s="111"/>
      <c r="O9" s="111"/>
    </row>
    <row r="10" spans="1:15">
      <c r="A10" s="111" t="s">
        <v>6160</v>
      </c>
      <c r="B10" s="111"/>
      <c r="C10" s="111"/>
      <c r="D10" s="111"/>
      <c r="E10" s="111"/>
      <c r="F10" s="112" t="s">
        <v>21</v>
      </c>
      <c r="G10" s="160" t="s">
        <v>6471</v>
      </c>
      <c r="H10" s="111"/>
      <c r="J10" s="21"/>
      <c r="K10" s="111"/>
      <c r="L10" s="111"/>
      <c r="M10" s="111"/>
    </row>
    <row r="11" spans="1:15">
      <c r="A11" s="111" t="s">
        <v>6161</v>
      </c>
      <c r="B11" s="111"/>
      <c r="C11" s="111"/>
      <c r="D11" s="111"/>
      <c r="E11" s="111"/>
      <c r="F11" s="112" t="s">
        <v>19</v>
      </c>
      <c r="G11" s="160" t="s">
        <v>1094</v>
      </c>
      <c r="H11" s="111"/>
      <c r="J11" s="336"/>
      <c r="K11" s="111"/>
    </row>
    <row r="12" spans="1:15">
      <c r="A12" s="111" t="s">
        <v>6162</v>
      </c>
      <c r="B12" s="111"/>
      <c r="C12" s="111"/>
      <c r="D12" s="111"/>
      <c r="E12" s="111"/>
      <c r="F12" s="112" t="s">
        <v>17</v>
      </c>
      <c r="G12" s="160" t="s">
        <v>1270</v>
      </c>
      <c r="H12" s="111"/>
      <c r="K12" s="111"/>
    </row>
    <row r="13" spans="1:15">
      <c r="A13" s="111" t="s">
        <v>6163</v>
      </c>
      <c r="B13" s="111"/>
      <c r="C13" s="111"/>
      <c r="D13" s="111"/>
      <c r="E13" s="111"/>
      <c r="F13" s="111"/>
      <c r="G13" s="131"/>
      <c r="H13" s="111"/>
      <c r="K13" s="2" t="s">
        <v>6164</v>
      </c>
      <c r="L13" s="2"/>
      <c r="M13" s="111"/>
      <c r="N13" s="111"/>
      <c r="O13" s="111"/>
    </row>
    <row r="14" spans="1:15">
      <c r="A14" s="111"/>
      <c r="B14" s="111"/>
      <c r="C14" s="111"/>
      <c r="D14" s="111"/>
      <c r="E14" s="111"/>
      <c r="F14" s="111"/>
      <c r="G14" s="131"/>
      <c r="H14" s="111"/>
      <c r="K14" s="2"/>
      <c r="L14" s="2"/>
      <c r="M14" s="111"/>
      <c r="N14" s="111"/>
      <c r="O14" s="111"/>
    </row>
    <row r="15" spans="1:15">
      <c r="A15" s="111"/>
      <c r="B15" s="111"/>
      <c r="C15" s="111"/>
      <c r="D15" s="111"/>
      <c r="E15" s="111"/>
      <c r="F15" s="111"/>
      <c r="G15" s="111"/>
      <c r="H15" s="111"/>
      <c r="K15" s="111" t="s">
        <v>6166</v>
      </c>
      <c r="L15" s="111"/>
      <c r="M15" s="111"/>
      <c r="N15" s="111"/>
      <c r="O15" s="111">
        <f>163000*80/100</f>
        <v>130400</v>
      </c>
    </row>
    <row r="16" spans="1:15" s="15" customFormat="1" ht="20.100000000000001" customHeight="1">
      <c r="A16" s="18" t="s">
        <v>1140</v>
      </c>
      <c r="B16" s="474" t="s">
        <v>1098</v>
      </c>
      <c r="C16" s="474"/>
      <c r="D16" s="19" t="s">
        <v>14</v>
      </c>
      <c r="E16" s="19"/>
      <c r="F16" s="18"/>
      <c r="G16" s="17"/>
      <c r="H16" s="16" t="s">
        <v>13</v>
      </c>
      <c r="K16" s="111" t="s">
        <v>6167</v>
      </c>
      <c r="L16" s="1"/>
      <c r="M16" s="1"/>
      <c r="N16" s="1"/>
      <c r="O16" s="111"/>
    </row>
    <row r="17" spans="1:18">
      <c r="A17" s="111"/>
      <c r="B17" s="111"/>
      <c r="C17" s="111"/>
      <c r="D17" s="111"/>
      <c r="E17" s="111"/>
      <c r="F17" s="111"/>
      <c r="G17" s="111"/>
      <c r="H17" s="111"/>
      <c r="K17" s="111" t="s">
        <v>6165</v>
      </c>
      <c r="O17" s="111"/>
    </row>
    <row r="18" spans="1:18">
      <c r="A18" s="111"/>
      <c r="B18" s="111"/>
      <c r="C18" s="111"/>
      <c r="D18" s="2" t="s">
        <v>6473</v>
      </c>
      <c r="E18" s="2"/>
      <c r="F18" s="111"/>
      <c r="G18" s="111"/>
      <c r="H18" s="111"/>
      <c r="O18" s="111"/>
    </row>
    <row r="19" spans="1:18">
      <c r="A19" s="111"/>
      <c r="B19" s="111"/>
      <c r="C19" s="111"/>
      <c r="D19" s="2"/>
      <c r="E19" s="2"/>
      <c r="F19" s="111"/>
      <c r="G19" s="111"/>
      <c r="H19" s="111"/>
      <c r="K19" s="111" t="s">
        <v>6168</v>
      </c>
      <c r="O19" s="149"/>
    </row>
    <row r="20" spans="1:18">
      <c r="A20" s="485" t="s">
        <v>6474</v>
      </c>
      <c r="B20" s="485" t="s">
        <v>6475</v>
      </c>
      <c r="C20" s="116"/>
      <c r="D20" s="111" t="s">
        <v>6476</v>
      </c>
      <c r="E20" s="111"/>
      <c r="F20" s="111"/>
      <c r="G20" s="111"/>
      <c r="H20" s="111">
        <f>46.73*3.035</f>
        <v>141.82554999999999</v>
      </c>
      <c r="K20" s="111"/>
      <c r="L20" s="111"/>
      <c r="M20" s="111"/>
      <c r="N20" s="111"/>
      <c r="O20" s="111"/>
    </row>
    <row r="21" spans="1:18">
      <c r="A21" s="116"/>
      <c r="B21" s="116"/>
      <c r="C21" s="120"/>
      <c r="D21" s="111" t="s">
        <v>6477</v>
      </c>
      <c r="H21" s="111"/>
      <c r="K21" s="111" t="s">
        <v>6166</v>
      </c>
      <c r="L21" s="111"/>
      <c r="M21" s="111"/>
      <c r="N21" s="111"/>
      <c r="O21" s="111">
        <f>163000*20/100</f>
        <v>32600</v>
      </c>
    </row>
    <row r="22" spans="1:18">
      <c r="A22" s="116"/>
      <c r="B22" s="116"/>
      <c r="C22" s="116"/>
      <c r="D22" s="111"/>
      <c r="H22" s="111"/>
      <c r="K22" s="111" t="s">
        <v>6167</v>
      </c>
      <c r="L22" s="111"/>
      <c r="O22" s="111"/>
    </row>
    <row r="23" spans="1:18">
      <c r="D23" s="111" t="s">
        <v>3562</v>
      </c>
      <c r="H23" s="111">
        <f>3.27*3.035</f>
        <v>9.9244500000000002</v>
      </c>
      <c r="K23" s="111" t="s">
        <v>6165</v>
      </c>
    </row>
    <row r="24" spans="1:18">
      <c r="A24" s="116"/>
      <c r="B24" s="116"/>
      <c r="C24" s="120"/>
      <c r="D24" s="111"/>
      <c r="H24" s="149"/>
      <c r="K24" s="111"/>
      <c r="O24" s="111"/>
    </row>
    <row r="25" spans="1:18">
      <c r="A25" s="116"/>
      <c r="B25" s="116"/>
      <c r="C25" s="116"/>
      <c r="D25" s="111" t="s">
        <v>1697</v>
      </c>
      <c r="E25" s="111"/>
      <c r="F25" s="111"/>
      <c r="G25" s="111"/>
      <c r="H25" s="111">
        <v>10</v>
      </c>
      <c r="K25" s="111" t="s">
        <v>6169</v>
      </c>
    </row>
    <row r="26" spans="1:18">
      <c r="A26" s="116"/>
      <c r="B26" s="116"/>
      <c r="C26" s="111"/>
      <c r="D26" s="111"/>
      <c r="E26" s="111"/>
      <c r="F26" s="111"/>
      <c r="G26" s="111"/>
      <c r="H26" s="111"/>
    </row>
    <row r="27" spans="1:18">
      <c r="A27" s="116"/>
      <c r="B27" s="116"/>
      <c r="C27" s="120"/>
      <c r="D27" s="111"/>
      <c r="E27" s="111"/>
      <c r="H27" s="111"/>
      <c r="K27" s="111" t="s">
        <v>1697</v>
      </c>
      <c r="O27" s="111">
        <v>10</v>
      </c>
    </row>
    <row r="28" spans="1:18">
      <c r="A28" s="111"/>
      <c r="B28" s="111"/>
      <c r="C28" s="111"/>
      <c r="D28" s="111"/>
    </row>
    <row r="29" spans="1:18">
      <c r="A29" s="111"/>
      <c r="B29" s="111"/>
      <c r="C29" s="111"/>
      <c r="D29" s="111"/>
      <c r="H29" s="111"/>
      <c r="K29" s="483" t="s">
        <v>6249</v>
      </c>
      <c r="L29" s="483"/>
      <c r="M29" s="483"/>
      <c r="N29" s="483"/>
      <c r="O29" s="483">
        <f>156792*20/100</f>
        <v>31358.400000000001</v>
      </c>
    </row>
    <row r="30" spans="1:18">
      <c r="A30" s="111"/>
      <c r="B30" s="111"/>
      <c r="C30" s="111"/>
      <c r="D30" s="111"/>
      <c r="H30" s="111"/>
      <c r="K30" s="483" t="s">
        <v>6250</v>
      </c>
      <c r="O30" s="483"/>
      <c r="R30" s="111"/>
    </row>
    <row r="31" spans="1:18">
      <c r="A31" s="111"/>
      <c r="B31" s="111"/>
      <c r="C31" s="111"/>
      <c r="K31" s="483" t="s">
        <v>6251</v>
      </c>
      <c r="O31" s="483"/>
      <c r="P31" s="111"/>
      <c r="Q31" s="111"/>
      <c r="R31" s="111"/>
    </row>
    <row r="32" spans="1:18">
      <c r="A32" s="111"/>
      <c r="B32" s="111"/>
      <c r="C32" s="111"/>
      <c r="K32" s="483" t="s">
        <v>6252</v>
      </c>
      <c r="O32" s="483"/>
      <c r="P32" s="111"/>
      <c r="Q32" s="111"/>
      <c r="R32" s="111"/>
    </row>
    <row r="33" spans="1:18">
      <c r="A33" s="111"/>
      <c r="B33" s="111"/>
      <c r="C33" s="111"/>
      <c r="K33" s="483" t="s">
        <v>6253</v>
      </c>
      <c r="O33" s="149"/>
      <c r="R33" s="111"/>
    </row>
    <row r="34" spans="1:18">
      <c r="A34" s="111"/>
      <c r="B34" s="111"/>
      <c r="C34" s="111"/>
      <c r="D34" s="111"/>
      <c r="E34" s="111"/>
      <c r="F34" s="111"/>
      <c r="G34" s="111"/>
      <c r="H34" s="111"/>
      <c r="K34" s="483"/>
      <c r="L34" s="483"/>
      <c r="M34" s="483"/>
      <c r="N34" s="483"/>
      <c r="O34" s="483"/>
    </row>
    <row r="35" spans="1:18" ht="13.5" thickBot="1">
      <c r="A35" s="111"/>
      <c r="B35" s="111"/>
      <c r="C35" s="111"/>
      <c r="D35" s="111"/>
      <c r="E35" s="111"/>
      <c r="F35" s="111"/>
      <c r="G35" s="111"/>
      <c r="H35" s="117">
        <f>SUM(H18:H34)</f>
        <v>161.75</v>
      </c>
      <c r="K35" s="483" t="s">
        <v>6254</v>
      </c>
      <c r="L35" s="483"/>
      <c r="M35" s="483"/>
      <c r="N35" s="483"/>
      <c r="O35" s="483"/>
    </row>
    <row r="36" spans="1:18" ht="13.5" thickTop="1">
      <c r="A36" s="111"/>
      <c r="B36" s="111"/>
      <c r="C36" s="111"/>
      <c r="D36" s="111"/>
      <c r="E36" s="111"/>
    </row>
    <row r="37" spans="1:1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Hundred Sixty-One and 75/100 -----------</v>
      </c>
      <c r="C37" s="204"/>
      <c r="D37" s="119"/>
      <c r="E37" s="119"/>
      <c r="F37" s="119"/>
      <c r="G37" s="119"/>
      <c r="H37" s="119"/>
    </row>
    <row r="38" spans="1:18" ht="20.100000000000001" customHeight="1">
      <c r="A38" s="160"/>
      <c r="B38" s="145"/>
      <c r="C38" s="145"/>
      <c r="D38" s="126"/>
      <c r="E38" s="126"/>
      <c r="F38" s="126"/>
      <c r="G38" s="126"/>
      <c r="H38" s="126"/>
    </row>
    <row r="39" spans="1:18" ht="25.5">
      <c r="A39" s="120" t="s">
        <v>3060</v>
      </c>
      <c r="B39" s="111"/>
      <c r="C39" s="111"/>
      <c r="D39" s="441"/>
      <c r="E39" s="111"/>
      <c r="F39" s="265" t="s">
        <v>2894</v>
      </c>
      <c r="G39" s="266"/>
      <c r="H39" s="267"/>
    </row>
    <row r="40" spans="1:18">
      <c r="A40" s="111"/>
      <c r="B40" s="111"/>
      <c r="C40" s="111"/>
      <c r="D40" s="433"/>
      <c r="E40" s="111"/>
      <c r="F40" s="310"/>
      <c r="G40" s="311"/>
      <c r="H40" s="311"/>
    </row>
    <row r="41" spans="1:18">
      <c r="B41" s="111"/>
      <c r="C41" s="111"/>
      <c r="D41" s="433"/>
      <c r="E41" s="111"/>
      <c r="F41" s="111"/>
      <c r="G41" s="111"/>
      <c r="H41" s="111"/>
    </row>
    <row r="42" spans="1:18">
      <c r="A42" s="111"/>
      <c r="B42" s="111"/>
      <c r="C42" s="111"/>
      <c r="D42" s="433"/>
      <c r="E42" s="111"/>
      <c r="F42" s="111"/>
      <c r="G42" s="111"/>
      <c r="H42" s="111"/>
    </row>
    <row r="43" spans="1:18">
      <c r="A43" s="122"/>
      <c r="B43" s="122"/>
      <c r="C43" s="111"/>
      <c r="D43" s="433"/>
      <c r="E43" s="111"/>
      <c r="F43" s="111"/>
      <c r="G43" s="111"/>
      <c r="H43" s="111"/>
    </row>
    <row r="44" spans="1:18">
      <c r="A44" s="111"/>
      <c r="B44" s="111"/>
      <c r="C44" s="111"/>
      <c r="D44" s="442"/>
      <c r="E44" s="111"/>
      <c r="F44" s="111"/>
      <c r="G44" s="111"/>
      <c r="H44" s="111"/>
    </row>
    <row r="45" spans="1:18">
      <c r="A45" s="111"/>
      <c r="B45" s="111"/>
      <c r="C45" s="111"/>
      <c r="D45" s="151"/>
      <c r="E45" s="111"/>
      <c r="F45" s="111"/>
      <c r="G45" s="111"/>
      <c r="H45" s="111"/>
    </row>
    <row r="46" spans="1:18">
      <c r="A46" s="123" t="s">
        <v>8</v>
      </c>
      <c r="B46" s="111"/>
      <c r="C46" s="111"/>
      <c r="D46" s="123" t="s">
        <v>8</v>
      </c>
      <c r="E46" s="111"/>
      <c r="F46" s="123" t="s">
        <v>7</v>
      </c>
      <c r="G46" s="111"/>
      <c r="H46" s="124"/>
    </row>
    <row r="47" spans="1:18">
      <c r="A47" s="111"/>
      <c r="B47" s="111"/>
      <c r="C47" s="111"/>
      <c r="D47" s="111"/>
      <c r="E47" s="111"/>
      <c r="F47" s="111"/>
      <c r="G47" s="111"/>
      <c r="H47" s="111"/>
    </row>
    <row r="48" spans="1:1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22"/>
      <c r="B50" s="122"/>
      <c r="C50" s="111"/>
      <c r="D50" s="122"/>
      <c r="E50" s="111"/>
      <c r="F50" s="122"/>
      <c r="G50" s="122"/>
      <c r="H50" s="122"/>
    </row>
    <row r="51" spans="1:8" s="3" customFormat="1" ht="17.100000000000001" customHeight="1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</row>
    <row r="52" spans="1:8">
      <c r="A52" s="111"/>
      <c r="B52" s="111"/>
      <c r="C52" s="111"/>
      <c r="D52" s="111"/>
      <c r="E52" s="111"/>
      <c r="F52" s="111" t="s">
        <v>2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2" t="s">
        <v>1</v>
      </c>
      <c r="G54" s="111"/>
      <c r="H54" s="111"/>
    </row>
    <row r="55" spans="1:8">
      <c r="A55" s="111"/>
      <c r="B55" s="111"/>
      <c r="C55" s="111"/>
      <c r="D55" s="111"/>
      <c r="E55" s="111"/>
      <c r="F55" s="2" t="s">
        <v>0</v>
      </c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  <row r="65" spans="1:8">
      <c r="A65" s="111"/>
      <c r="B65" s="111"/>
      <c r="C65" s="111"/>
      <c r="D65" s="111"/>
      <c r="E65" s="111"/>
      <c r="F65" s="111"/>
      <c r="G65" s="111"/>
      <c r="H65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8D301-0EE3-4285-9B3E-FF3DB6CC1A42}">
  <sheetPr codeName="Sheet501">
    <pageSetUpPr fitToPage="1"/>
  </sheetPr>
  <dimension ref="A1:I55"/>
  <sheetViews>
    <sheetView topLeftCell="A4" zoomScaleNormal="100" workbookViewId="0">
      <selection activeCell="G9" sqref="G9:G13"/>
    </sheetView>
  </sheetViews>
  <sheetFormatPr defaultRowHeight="12.75"/>
  <cols>
    <col min="1" max="1" width="15.85546875" style="111" customWidth="1"/>
    <col min="2" max="2" width="15.42578125" style="111" customWidth="1"/>
    <col min="3" max="3" width="0.85546875" style="483" customWidth="1"/>
    <col min="4" max="4" width="23" style="111" customWidth="1"/>
    <col min="5" max="5" width="1" style="483" customWidth="1"/>
    <col min="6" max="6" width="12" style="111" customWidth="1"/>
    <col min="7" max="7" width="9.710937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1239</v>
      </c>
      <c r="G9" s="489" t="s">
        <v>7193</v>
      </c>
    </row>
    <row r="10" spans="1:8">
      <c r="A10" s="111" t="s">
        <v>4965</v>
      </c>
      <c r="F10" s="112" t="s">
        <v>1124</v>
      </c>
      <c r="G10" s="489" t="s">
        <v>7191</v>
      </c>
    </row>
    <row r="11" spans="1:8">
      <c r="A11" s="111" t="s">
        <v>4966</v>
      </c>
      <c r="F11" s="112" t="s">
        <v>1125</v>
      </c>
      <c r="G11" s="489" t="s">
        <v>1094</v>
      </c>
    </row>
    <row r="12" spans="1:8">
      <c r="A12" s="111" t="s">
        <v>4024</v>
      </c>
      <c r="F12" s="112" t="s">
        <v>1096</v>
      </c>
      <c r="G12" s="483" t="s">
        <v>7194</v>
      </c>
    </row>
    <row r="13" spans="1:8">
      <c r="A13" s="111" t="s">
        <v>2005</v>
      </c>
      <c r="G13" s="483" t="s">
        <v>7192</v>
      </c>
    </row>
    <row r="14" spans="1:8">
      <c r="A14" s="111" t="s">
        <v>4967</v>
      </c>
    </row>
    <row r="16" spans="1:8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</row>
    <row r="17" spans="1:9">
      <c r="A17" s="153"/>
    </row>
    <row r="18" spans="1:9">
      <c r="B18" s="116"/>
      <c r="C18" s="485"/>
      <c r="D18" s="482" t="s">
        <v>7195</v>
      </c>
      <c r="E18" s="482"/>
      <c r="F18" s="483"/>
      <c r="G18" s="483"/>
      <c r="H18" s="483"/>
      <c r="I18" s="483"/>
    </row>
    <row r="19" spans="1:9">
      <c r="D19" s="482" t="s">
        <v>7196</v>
      </c>
      <c r="F19" s="483"/>
      <c r="G19" s="483"/>
      <c r="H19" s="483"/>
      <c r="I19" s="483"/>
    </row>
    <row r="20" spans="1:9">
      <c r="A20" s="116"/>
      <c r="B20" s="116"/>
      <c r="C20" s="485"/>
      <c r="D20" s="483"/>
      <c r="F20" s="483"/>
      <c r="G20" s="483"/>
      <c r="H20" s="483"/>
      <c r="I20" s="483"/>
    </row>
    <row r="21" spans="1:9">
      <c r="A21" s="485" t="s">
        <v>7197</v>
      </c>
      <c r="B21" s="485" t="s">
        <v>7198</v>
      </c>
      <c r="C21" s="485"/>
      <c r="D21" s="483" t="s">
        <v>7199</v>
      </c>
      <c r="F21" s="483"/>
      <c r="G21" s="483"/>
      <c r="H21" s="149">
        <f>140*2*20</f>
        <v>5600</v>
      </c>
      <c r="I21" s="483"/>
    </row>
    <row r="22" spans="1:9">
      <c r="A22" s="116"/>
      <c r="B22" s="116"/>
      <c r="C22" s="485"/>
      <c r="D22" s="483"/>
      <c r="F22" s="483"/>
      <c r="G22" s="483"/>
      <c r="H22" s="483"/>
      <c r="I22" s="483"/>
    </row>
    <row r="23" spans="1:9">
      <c r="A23" s="116"/>
      <c r="B23" s="116"/>
      <c r="C23" s="485"/>
      <c r="D23" s="483"/>
      <c r="F23" s="483"/>
      <c r="G23" s="483"/>
      <c r="H23" s="483"/>
      <c r="I23" s="483"/>
    </row>
    <row r="24" spans="1:9">
      <c r="A24" s="116"/>
      <c r="B24" s="116"/>
      <c r="C24" s="485"/>
      <c r="D24" s="314"/>
      <c r="E24" s="314"/>
      <c r="F24" s="483"/>
      <c r="G24" s="483"/>
      <c r="H24" s="483"/>
      <c r="I24" s="483"/>
    </row>
    <row r="25" spans="1:9">
      <c r="A25" s="116"/>
      <c r="B25" s="116"/>
      <c r="C25" s="485"/>
      <c r="D25" s="314"/>
      <c r="E25" s="314"/>
      <c r="F25" s="483"/>
      <c r="G25" s="483"/>
      <c r="H25" s="483"/>
      <c r="I25" s="483"/>
    </row>
    <row r="29" spans="1:9">
      <c r="D29" s="167"/>
      <c r="E29" s="167"/>
    </row>
    <row r="31" spans="1:9">
      <c r="A31" s="153"/>
    </row>
    <row r="32" spans="1:9">
      <c r="A32" s="153"/>
    </row>
    <row r="33" spans="1:8">
      <c r="A33" s="153"/>
    </row>
    <row r="34" spans="1:8">
      <c r="A34" s="153"/>
    </row>
    <row r="35" spans="1:8">
      <c r="A35" s="153"/>
    </row>
    <row r="36" spans="1:8" ht="13.5" thickBot="1">
      <c r="A36" s="153"/>
      <c r="H36" s="117">
        <f>SUM(H18:H34)</f>
        <v>5600</v>
      </c>
    </row>
    <row r="37" spans="1:8" ht="13.5" thickTop="1">
      <c r="A37" s="153"/>
    </row>
    <row r="38" spans="1:8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Five Thousand Six Hundred and NO/100 -----------</v>
      </c>
      <c r="C38" s="202"/>
      <c r="D38" s="119"/>
      <c r="E38" s="119"/>
      <c r="F38" s="119"/>
      <c r="G38" s="119"/>
      <c r="H38" s="119"/>
    </row>
    <row r="39" spans="1:8">
      <c r="A39" s="120" t="s">
        <v>11</v>
      </c>
    </row>
    <row r="40" spans="1:8" ht="25.5">
      <c r="A40" s="126" t="s">
        <v>10</v>
      </c>
      <c r="F40" s="265" t="s">
        <v>2894</v>
      </c>
      <c r="G40" s="266"/>
      <c r="H40" s="267"/>
    </row>
    <row r="43" spans="1:8">
      <c r="D43" s="121"/>
      <c r="E43" s="121"/>
    </row>
    <row r="44" spans="1:8">
      <c r="A44" s="122"/>
      <c r="B44" s="122"/>
      <c r="C44" s="433"/>
    </row>
    <row r="46" spans="1:8">
      <c r="A46" s="123" t="s">
        <v>8</v>
      </c>
      <c r="D46" s="487" t="s">
        <v>8</v>
      </c>
      <c r="F46" s="123" t="s">
        <v>7</v>
      </c>
      <c r="H46" s="124"/>
    </row>
    <row r="47" spans="1:8">
      <c r="D47" s="483"/>
    </row>
    <row r="48" spans="1:8">
      <c r="D48" s="483"/>
    </row>
    <row r="49" spans="1:8">
      <c r="D49" s="483"/>
    </row>
    <row r="50" spans="1:8">
      <c r="A50" s="122"/>
      <c r="B50" s="122"/>
      <c r="C50" s="433"/>
      <c r="D50" s="122"/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F52" s="111" t="s">
        <v>2</v>
      </c>
    </row>
    <row r="54" spans="1:8">
      <c r="F54" s="2" t="s">
        <v>1</v>
      </c>
    </row>
    <row r="55" spans="1:8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0427-EA50-4604-96AD-2DCFD44069B9}">
  <sheetPr codeName="Sheet519">
    <pageSetUpPr fitToPage="1"/>
  </sheetPr>
  <dimension ref="A1:N60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7.85546875" style="227" customWidth="1"/>
    <col min="3" max="3" width="19.85546875" style="227" customWidth="1"/>
    <col min="4" max="4" width="16.42578125" style="227" customWidth="1"/>
    <col min="5" max="5" width="8.140625" style="227" customWidth="1"/>
    <col min="6" max="6" width="13.28515625" style="227" customWidth="1"/>
    <col min="7" max="7" width="16.140625" style="209" customWidth="1"/>
    <col min="8" max="16384" width="9.140625" style="209"/>
  </cols>
  <sheetData>
    <row r="1" spans="1:14" ht="15" customHeight="1">
      <c r="A1" s="531" t="s">
        <v>26</v>
      </c>
      <c r="B1" s="531"/>
      <c r="C1" s="531"/>
      <c r="D1" s="531"/>
      <c r="E1" s="531"/>
      <c r="F1" s="531"/>
    </row>
    <row r="2" spans="1:14" ht="12.75" customHeight="1">
      <c r="A2" s="532" t="s">
        <v>25</v>
      </c>
      <c r="B2" s="532"/>
      <c r="C2" s="532"/>
      <c r="D2" s="532"/>
      <c r="E2" s="532"/>
      <c r="F2" s="532"/>
    </row>
    <row r="3" spans="1:14" ht="12.75" customHeight="1">
      <c r="A3" s="532" t="s">
        <v>1480</v>
      </c>
      <c r="B3" s="532"/>
      <c r="C3" s="532"/>
      <c r="D3" s="532"/>
      <c r="E3" s="532"/>
      <c r="F3" s="532"/>
    </row>
    <row r="4" spans="1:14" ht="12.75" customHeight="1">
      <c r="A4" s="532" t="s">
        <v>1684</v>
      </c>
      <c r="B4" s="532"/>
      <c r="C4" s="532"/>
      <c r="D4" s="532"/>
      <c r="E4" s="532"/>
      <c r="F4" s="532"/>
      <c r="H4" s="209" t="s">
        <v>5148</v>
      </c>
      <c r="I4" s="209">
        <v>43373</v>
      </c>
      <c r="K4" s="209" t="s">
        <v>5149</v>
      </c>
    </row>
    <row r="5" spans="1:14" ht="12.75" customHeight="1">
      <c r="A5" s="131"/>
      <c r="B5" s="131"/>
      <c r="C5" s="131"/>
      <c r="D5" s="131"/>
      <c r="E5" s="131"/>
      <c r="F5" s="131"/>
    </row>
    <row r="6" spans="1:14" ht="12.75" customHeight="1">
      <c r="A6" s="131"/>
      <c r="B6" s="131"/>
      <c r="C6" s="131"/>
      <c r="D6" s="131"/>
      <c r="E6" s="131"/>
      <c r="F6" s="131"/>
      <c r="H6" s="209" t="s">
        <v>5288</v>
      </c>
      <c r="I6" s="209">
        <v>43436</v>
      </c>
      <c r="K6" s="209" t="s">
        <v>5289</v>
      </c>
    </row>
    <row r="7" spans="1:14" ht="12.75" customHeight="1">
      <c r="A7" s="131"/>
      <c r="B7" s="131"/>
      <c r="C7" s="131"/>
      <c r="D7" s="131"/>
      <c r="E7" s="131"/>
      <c r="F7" s="131"/>
    </row>
    <row r="8" spans="1:14" s="211" customFormat="1" ht="12.75" customHeight="1">
      <c r="A8" s="147" t="s">
        <v>24</v>
      </c>
      <c r="B8" s="147"/>
      <c r="C8" s="147"/>
      <c r="D8" s="210" t="s">
        <v>23</v>
      </c>
      <c r="E8" s="147"/>
      <c r="F8" s="147"/>
      <c r="G8" s="211" t="s">
        <v>5218</v>
      </c>
      <c r="H8" s="211">
        <v>43434</v>
      </c>
      <c r="J8" s="211" t="s">
        <v>5219</v>
      </c>
    </row>
    <row r="9" spans="1:14" s="211" customFormat="1" ht="12.75" customHeight="1">
      <c r="A9" s="147"/>
      <c r="B9" s="147"/>
      <c r="C9" s="147"/>
      <c r="D9" s="212" t="s">
        <v>1723</v>
      </c>
      <c r="E9" s="132" t="s">
        <v>5510</v>
      </c>
      <c r="F9" s="131"/>
      <c r="J9" s="147" t="s">
        <v>5150</v>
      </c>
      <c r="K9" s="224"/>
      <c r="L9" s="224"/>
      <c r="M9" s="147">
        <v>1500</v>
      </c>
    </row>
    <row r="10" spans="1:14" s="211" customFormat="1" ht="12.75" customHeight="1">
      <c r="A10" s="147" t="s">
        <v>4720</v>
      </c>
      <c r="B10" s="147"/>
      <c r="C10" s="147"/>
      <c r="D10" s="212" t="s">
        <v>1340</v>
      </c>
      <c r="E10" s="132" t="s">
        <v>5509</v>
      </c>
      <c r="F10" s="131"/>
      <c r="J10" s="147" t="s">
        <v>5151</v>
      </c>
      <c r="K10" s="224"/>
      <c r="L10" s="224"/>
      <c r="M10" s="147">
        <v>1500</v>
      </c>
    </row>
    <row r="11" spans="1:14" s="211" customFormat="1" ht="12.75" customHeight="1">
      <c r="A11" s="147" t="s">
        <v>4721</v>
      </c>
      <c r="B11" s="147"/>
      <c r="C11" s="147"/>
      <c r="D11" s="212" t="s">
        <v>1341</v>
      </c>
      <c r="E11" s="132" t="s">
        <v>1094</v>
      </c>
      <c r="F11" s="131"/>
      <c r="J11" s="147"/>
      <c r="K11" s="224"/>
      <c r="L11" s="224"/>
      <c r="M11" s="147"/>
    </row>
    <row r="12" spans="1:14" s="211" customFormat="1" ht="12.75" customHeight="1">
      <c r="A12" s="147" t="s">
        <v>4722</v>
      </c>
      <c r="B12" s="147"/>
      <c r="C12" s="147"/>
      <c r="D12" s="212" t="s">
        <v>2136</v>
      </c>
      <c r="E12" s="120" t="s">
        <v>5511</v>
      </c>
      <c r="F12" s="131"/>
      <c r="H12" s="222">
        <v>43131</v>
      </c>
      <c r="I12" s="303"/>
      <c r="J12" s="147" t="s">
        <v>4797</v>
      </c>
      <c r="K12" s="224"/>
      <c r="L12" s="224"/>
      <c r="M12" s="147">
        <v>1500</v>
      </c>
      <c r="N12" s="221"/>
    </row>
    <row r="13" spans="1:14" s="211" customFormat="1" ht="12.75" customHeight="1">
      <c r="A13" s="147" t="s">
        <v>4723</v>
      </c>
      <c r="B13" s="147"/>
      <c r="C13" s="147"/>
      <c r="D13" s="147"/>
      <c r="E13" s="377"/>
      <c r="F13" s="147"/>
      <c r="H13" s="224"/>
      <c r="I13" s="224"/>
      <c r="J13" s="147" t="s">
        <v>4798</v>
      </c>
      <c r="K13" s="224"/>
      <c r="L13" s="224"/>
      <c r="M13" s="147">
        <v>1500</v>
      </c>
      <c r="N13" s="224"/>
    </row>
    <row r="14" spans="1:14" s="211" customFormat="1" ht="12.75" customHeight="1">
      <c r="A14" s="147" t="s">
        <v>1365</v>
      </c>
      <c r="B14" s="147"/>
      <c r="C14" s="147"/>
      <c r="D14" s="147"/>
      <c r="E14" s="147"/>
      <c r="F14" s="147"/>
    </row>
    <row r="15" spans="1:14" s="213" customFormat="1" ht="12.75" customHeight="1">
      <c r="A15" s="147"/>
      <c r="B15" s="147"/>
      <c r="C15" s="147"/>
      <c r="D15" s="147"/>
      <c r="E15" s="147"/>
      <c r="F15" s="147"/>
    </row>
    <row r="16" spans="1:14" s="213" customFormat="1">
      <c r="A16" s="91" t="s">
        <v>1122</v>
      </c>
      <c r="B16" s="91" t="s">
        <v>1098</v>
      </c>
      <c r="C16" s="92" t="s">
        <v>14</v>
      </c>
      <c r="D16" s="90"/>
      <c r="E16" s="91"/>
      <c r="F16" s="94" t="s">
        <v>13</v>
      </c>
      <c r="G16" s="214"/>
      <c r="J16" s="147" t="s">
        <v>4889</v>
      </c>
      <c r="K16" s="224"/>
      <c r="L16" s="224"/>
      <c r="M16" s="147">
        <v>1500</v>
      </c>
    </row>
    <row r="17" spans="1:14" s="213" customFormat="1" ht="12.75" customHeight="1">
      <c r="A17" s="215"/>
      <c r="B17" s="216"/>
      <c r="C17" s="422"/>
      <c r="D17" s="216"/>
      <c r="E17" s="218"/>
      <c r="F17" s="219"/>
      <c r="G17" s="214"/>
      <c r="J17" s="147" t="s">
        <v>4890</v>
      </c>
      <c r="K17" s="224"/>
      <c r="L17" s="224"/>
      <c r="M17" s="147">
        <v>1500</v>
      </c>
    </row>
    <row r="18" spans="1:14" s="211" customFormat="1" ht="12.75" customHeight="1">
      <c r="A18" s="220"/>
      <c r="B18" s="145"/>
      <c r="C18" s="95" t="s">
        <v>4157</v>
      </c>
      <c r="D18" s="224"/>
      <c r="E18" s="224"/>
      <c r="F18" s="147"/>
      <c r="G18" s="221"/>
    </row>
    <row r="19" spans="1:14" s="211" customFormat="1" ht="12.75" customHeight="1">
      <c r="A19" s="222"/>
      <c r="B19" s="303"/>
      <c r="C19" s="147"/>
      <c r="D19" s="224"/>
      <c r="E19" s="224"/>
      <c r="F19" s="147"/>
      <c r="G19" s="221"/>
      <c r="J19" s="147" t="s">
        <v>4998</v>
      </c>
      <c r="K19" s="224"/>
      <c r="L19" s="224"/>
      <c r="M19" s="147">
        <v>1500</v>
      </c>
    </row>
    <row r="20" spans="1:14" s="211" customFormat="1" ht="12.75" customHeight="1">
      <c r="A20" s="220" t="s">
        <v>5291</v>
      </c>
      <c r="B20" s="224"/>
      <c r="C20" s="147" t="s">
        <v>5292</v>
      </c>
      <c r="D20" s="224"/>
      <c r="E20" s="224"/>
      <c r="G20" s="221"/>
      <c r="J20" s="147"/>
      <c r="K20" s="224"/>
      <c r="L20" s="224"/>
      <c r="M20" s="147"/>
    </row>
    <row r="21" spans="1:14" s="224" customFormat="1" ht="12.75" customHeight="1">
      <c r="A21" s="220"/>
      <c r="C21" s="147" t="s">
        <v>5293</v>
      </c>
      <c r="F21" s="147">
        <v>1700</v>
      </c>
      <c r="J21" s="147" t="s">
        <v>4999</v>
      </c>
      <c r="M21" s="147">
        <v>1500</v>
      </c>
    </row>
    <row r="22" spans="1:14" s="224" customFormat="1" ht="12.75" customHeight="1">
      <c r="A22" s="211"/>
      <c r="B22" s="303"/>
      <c r="C22" s="147" t="s">
        <v>5294</v>
      </c>
      <c r="D22" s="211"/>
      <c r="F22" s="147">
        <v>1722</v>
      </c>
    </row>
    <row r="23" spans="1:14" s="211" customFormat="1" ht="12.75" customHeight="1">
      <c r="C23" s="147"/>
      <c r="F23" s="147"/>
      <c r="G23" s="221"/>
      <c r="J23" s="147" t="s">
        <v>5221</v>
      </c>
      <c r="K23" s="224"/>
      <c r="L23" s="224"/>
      <c r="M23" s="147">
        <v>1500</v>
      </c>
      <c r="N23" s="221"/>
    </row>
    <row r="24" spans="1:14" s="211" customFormat="1" ht="12.75" customHeight="1">
      <c r="A24" s="222"/>
      <c r="C24" s="147"/>
      <c r="F24" s="147"/>
      <c r="G24" s="221"/>
      <c r="J24" s="147" t="s">
        <v>5222</v>
      </c>
      <c r="K24" s="224"/>
      <c r="L24" s="224"/>
      <c r="M24" s="147">
        <v>1500</v>
      </c>
      <c r="N24" s="221"/>
    </row>
    <row r="25" spans="1:14" s="224" customFormat="1" ht="12.75" customHeight="1">
      <c r="A25" s="222"/>
      <c r="C25" s="95"/>
      <c r="F25" s="147"/>
    </row>
    <row r="26" spans="1:14" s="224" customFormat="1" ht="12.75" customHeight="1">
      <c r="A26" s="222"/>
      <c r="B26" s="223"/>
      <c r="C26" s="147"/>
      <c r="F26" s="147"/>
      <c r="I26" s="147" t="s">
        <v>5081</v>
      </c>
      <c r="L26" s="147">
        <v>1500</v>
      </c>
    </row>
    <row r="27" spans="1:14" s="224" customFormat="1" ht="12.75" customHeight="1">
      <c r="A27" s="220"/>
      <c r="B27" s="223"/>
      <c r="C27" s="147"/>
      <c r="F27" s="147"/>
      <c r="I27" s="147" t="s">
        <v>5082</v>
      </c>
      <c r="L27" s="147">
        <v>1500</v>
      </c>
    </row>
    <row r="28" spans="1:14" s="224" customFormat="1" ht="12.75" customHeight="1">
      <c r="A28" s="222"/>
      <c r="B28" s="223"/>
      <c r="C28" s="147"/>
      <c r="F28" s="147"/>
    </row>
    <row r="29" spans="1:14" s="224" customFormat="1" ht="12.75" customHeight="1">
      <c r="A29" s="222"/>
      <c r="B29" s="223"/>
      <c r="C29" s="147"/>
      <c r="F29" s="147"/>
    </row>
    <row r="30" spans="1:14" s="224" customFormat="1" ht="12.75" customHeight="1">
      <c r="A30" s="222"/>
      <c r="B30" s="223"/>
      <c r="C30" s="147"/>
      <c r="F30" s="147"/>
    </row>
    <row r="31" spans="1:14" s="227" customFormat="1" ht="12.75" customHeight="1">
      <c r="A31" s="222"/>
      <c r="B31" s="223"/>
      <c r="C31" s="147"/>
      <c r="D31" s="224"/>
      <c r="E31" s="224"/>
      <c r="F31" s="147"/>
    </row>
    <row r="32" spans="1:14" ht="12.75" customHeight="1">
      <c r="A32" s="222"/>
      <c r="B32" s="145"/>
      <c r="C32" s="147"/>
      <c r="D32" s="131"/>
      <c r="E32" s="131"/>
      <c r="F32" s="131"/>
    </row>
    <row r="33" spans="1:7" s="211" customFormat="1" ht="12.75" customHeight="1">
      <c r="A33" s="228"/>
      <c r="B33" s="228"/>
      <c r="C33" s="147"/>
      <c r="D33" s="131"/>
      <c r="E33" s="131"/>
      <c r="F33" s="131"/>
      <c r="G33" s="221"/>
    </row>
    <row r="34" spans="1:7" s="211" customFormat="1" ht="12.75" customHeight="1">
      <c r="A34" s="222"/>
      <c r="B34" s="145"/>
      <c r="C34" s="147"/>
      <c r="D34" s="147"/>
      <c r="E34" s="147"/>
      <c r="F34" s="147"/>
      <c r="G34" s="221"/>
    </row>
    <row r="35" spans="1:7" s="211" customFormat="1" ht="12.75" customHeight="1">
      <c r="A35" s="225"/>
      <c r="B35" s="145"/>
      <c r="C35" s="147"/>
      <c r="D35" s="147"/>
      <c r="E35" s="147"/>
      <c r="F35" s="147"/>
      <c r="G35" s="221"/>
    </row>
    <row r="36" spans="1:7" s="211" customFormat="1" ht="15.75" customHeight="1" thickBot="1">
      <c r="A36" s="229"/>
      <c r="B36" s="224"/>
      <c r="C36" s="224"/>
      <c r="D36" s="224"/>
      <c r="E36" s="224"/>
      <c r="F36" s="230">
        <f>SUM(F18:F35)</f>
        <v>3422</v>
      </c>
      <c r="G36" s="221"/>
    </row>
    <row r="37" spans="1:7" s="211" customFormat="1" ht="12.75" customHeight="1" thickTop="1">
      <c r="A37" s="229"/>
      <c r="B37" s="224"/>
      <c r="C37" s="224"/>
      <c r="D37" s="224"/>
      <c r="E37" s="224"/>
      <c r="F37" s="224"/>
      <c r="G37" s="221"/>
    </row>
    <row r="38" spans="1:7" ht="20.100000000000001" customHeight="1">
      <c r="A38" s="138" t="s">
        <v>1133</v>
      </c>
      <c r="B38" s="204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Three Thousand Four Hundred Twenty-Two and NO/100 -----------</v>
      </c>
      <c r="C38" s="231"/>
      <c r="D38" s="231"/>
      <c r="E38" s="231"/>
      <c r="F38" s="231"/>
    </row>
    <row r="39" spans="1:7" ht="12.75" customHeight="1">
      <c r="A39" s="232"/>
    </row>
    <row r="40" spans="1:7" ht="27" customHeight="1">
      <c r="A40" s="131" t="s">
        <v>10</v>
      </c>
      <c r="B40" s="131"/>
      <c r="C40" s="131"/>
      <c r="D40" s="283" t="s">
        <v>2894</v>
      </c>
      <c r="E40" s="284"/>
      <c r="F40" s="285"/>
    </row>
    <row r="41" spans="1:7" ht="12.75" customHeight="1">
      <c r="A41" s="131"/>
      <c r="B41" s="131"/>
      <c r="C41" s="131"/>
      <c r="D41" s="131"/>
      <c r="E41" s="131"/>
      <c r="F41" s="131"/>
    </row>
    <row r="42" spans="1:7" ht="12.75" customHeight="1">
      <c r="A42" s="131"/>
      <c r="B42" s="131"/>
      <c r="C42" s="131"/>
      <c r="D42" s="131"/>
      <c r="E42" s="131"/>
      <c r="F42" s="131"/>
    </row>
    <row r="43" spans="1:7">
      <c r="A43" s="301"/>
      <c r="B43" s="131"/>
      <c r="C43" s="131"/>
      <c r="D43" s="291"/>
      <c r="E43" s="291"/>
      <c r="F43" s="291"/>
    </row>
    <row r="44" spans="1:7">
      <c r="A44" s="248"/>
      <c r="B44" s="142"/>
      <c r="C44" s="131"/>
      <c r="D44" s="286"/>
      <c r="E44" s="287"/>
      <c r="F44" s="287"/>
    </row>
    <row r="45" spans="1:7" ht="12.75" customHeight="1">
      <c r="A45" s="301"/>
      <c r="B45" s="301"/>
      <c r="C45" s="131"/>
      <c r="D45" s="131"/>
      <c r="E45" s="131"/>
      <c r="F45" s="144"/>
    </row>
    <row r="46" spans="1:7" ht="12.75" customHeight="1">
      <c r="A46" s="143" t="s">
        <v>8</v>
      </c>
      <c r="B46" s="131"/>
      <c r="C46" s="131"/>
      <c r="D46" s="143" t="s">
        <v>7</v>
      </c>
      <c r="E46" s="131"/>
      <c r="F46" s="131"/>
    </row>
    <row r="47" spans="1:7" ht="12.75" customHeight="1">
      <c r="A47" s="301"/>
      <c r="B47" s="131"/>
      <c r="C47" s="131"/>
      <c r="E47" s="131"/>
      <c r="F47" s="131"/>
    </row>
    <row r="48" spans="1:7" ht="12.75" customHeight="1">
      <c r="A48" s="143"/>
      <c r="B48" s="131"/>
      <c r="C48" s="131"/>
      <c r="D48" s="131"/>
      <c r="E48" s="131"/>
      <c r="F48" s="131"/>
    </row>
    <row r="49" spans="1:6" ht="12.75" customHeight="1">
      <c r="A49" s="143"/>
      <c r="B49" s="131"/>
      <c r="C49" s="131"/>
      <c r="D49" s="131"/>
      <c r="E49" s="131"/>
      <c r="F49" s="131"/>
    </row>
    <row r="50" spans="1:6" s="211" customFormat="1" ht="12.75" customHeight="1">
      <c r="A50" s="143"/>
      <c r="B50" s="131"/>
      <c r="C50" s="131"/>
      <c r="D50" s="131"/>
      <c r="E50" s="147"/>
      <c r="F50" s="147"/>
    </row>
    <row r="51" spans="1:6" ht="12.75" customHeight="1">
      <c r="A51" s="248"/>
      <c r="B51" s="142"/>
      <c r="C51" s="131"/>
      <c r="D51" s="142"/>
      <c r="E51" s="142"/>
      <c r="F51" s="142"/>
    </row>
    <row r="52" spans="1:6">
      <c r="A52" s="143" t="s">
        <v>2948</v>
      </c>
      <c r="B52" s="146"/>
      <c r="C52" s="147"/>
      <c r="D52" s="147" t="s">
        <v>3</v>
      </c>
      <c r="E52" s="131"/>
      <c r="F52" s="131"/>
    </row>
    <row r="53" spans="1:6">
      <c r="A53" s="143"/>
      <c r="B53" s="131"/>
      <c r="C53" s="131"/>
      <c r="D53" s="131" t="s">
        <v>2</v>
      </c>
      <c r="E53" s="131"/>
      <c r="F53" s="131"/>
    </row>
    <row r="54" spans="1:6" ht="12.75" customHeight="1">
      <c r="A54" s="131"/>
      <c r="B54" s="131"/>
      <c r="C54" s="131"/>
      <c r="D54" s="131"/>
      <c r="E54" s="131"/>
      <c r="F54" s="131"/>
    </row>
    <row r="55" spans="1:6">
      <c r="A55" s="131"/>
      <c r="B55" s="131"/>
      <c r="C55" s="131"/>
      <c r="D55" s="110" t="s">
        <v>1</v>
      </c>
      <c r="E55" s="131"/>
      <c r="F55" s="131"/>
    </row>
    <row r="56" spans="1:6">
      <c r="A56" s="131"/>
      <c r="B56" s="131"/>
      <c r="C56" s="131"/>
      <c r="D56" s="110" t="s">
        <v>0</v>
      </c>
      <c r="E56" s="131"/>
      <c r="F56" s="131"/>
    </row>
    <row r="57" spans="1:6" ht="12.75" customHeight="1">
      <c r="A57" s="131"/>
      <c r="B57" s="131"/>
      <c r="C57" s="131"/>
      <c r="D57" s="131"/>
      <c r="E57" s="131"/>
      <c r="F57" s="131"/>
    </row>
    <row r="58" spans="1:6" ht="12.75" customHeight="1">
      <c r="A58" s="131"/>
      <c r="B58" s="131"/>
      <c r="C58" s="131"/>
      <c r="D58" s="131"/>
      <c r="E58" s="131"/>
      <c r="F58" s="131"/>
    </row>
    <row r="59" spans="1:6">
      <c r="A59" s="131"/>
      <c r="B59" s="131"/>
      <c r="C59" s="131"/>
      <c r="D59" s="131"/>
      <c r="E59" s="131"/>
      <c r="F59" s="131"/>
    </row>
    <row r="60" spans="1:6">
      <c r="A60" s="131"/>
      <c r="B60" s="131"/>
      <c r="C60" s="131"/>
      <c r="D60" s="131"/>
      <c r="E60" s="131"/>
      <c r="F60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Sheet433">
    <pageSetUpPr fitToPage="1"/>
  </sheetPr>
  <dimension ref="A1:F53"/>
  <sheetViews>
    <sheetView workbookViewId="0">
      <selection activeCell="G9" sqref="G9:G13"/>
    </sheetView>
  </sheetViews>
  <sheetFormatPr defaultRowHeight="12.75"/>
  <cols>
    <col min="1" max="1" width="10.7109375" style="111" customWidth="1"/>
    <col min="2" max="2" width="17.140625" style="111" customWidth="1"/>
    <col min="3" max="3" width="21" style="111" customWidth="1"/>
    <col min="4" max="4" width="16.42578125" style="111" customWidth="1"/>
    <col min="5" max="5" width="10.140625" style="111" customWidth="1"/>
    <col min="6" max="6" width="13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1090</v>
      </c>
      <c r="E9" s="111" t="s">
        <v>4162</v>
      </c>
    </row>
    <row r="10" spans="1:6">
      <c r="A10" s="111" t="s">
        <v>4038</v>
      </c>
      <c r="D10" s="112" t="s">
        <v>1855</v>
      </c>
      <c r="E10" s="123" t="s">
        <v>4161</v>
      </c>
    </row>
    <row r="11" spans="1:6">
      <c r="A11" s="111" t="s">
        <v>4039</v>
      </c>
      <c r="D11" s="112" t="s">
        <v>1163</v>
      </c>
      <c r="E11" s="112" t="s">
        <v>1094</v>
      </c>
    </row>
    <row r="12" spans="1:6">
      <c r="A12" s="111" t="s">
        <v>4040</v>
      </c>
      <c r="D12" s="112" t="s">
        <v>1096</v>
      </c>
      <c r="E12" s="112" t="s">
        <v>4163</v>
      </c>
    </row>
    <row r="13" spans="1:6">
      <c r="A13" s="111" t="s">
        <v>4041</v>
      </c>
    </row>
    <row r="14" spans="1:6">
      <c r="A14" s="111" t="s">
        <v>4042</v>
      </c>
    </row>
    <row r="16" spans="1:6" s="15" customFormat="1" ht="20.100000000000001" customHeight="1">
      <c r="A16" s="18" t="s">
        <v>1140</v>
      </c>
      <c r="B16" s="18" t="s">
        <v>1098</v>
      </c>
      <c r="C16" s="19" t="s">
        <v>14</v>
      </c>
      <c r="D16" s="18"/>
      <c r="E16" s="17"/>
      <c r="F16" s="16" t="s">
        <v>13</v>
      </c>
    </row>
    <row r="18" spans="1:6">
      <c r="A18" s="116" t="s">
        <v>4122</v>
      </c>
      <c r="B18" s="116" t="s">
        <v>4164</v>
      </c>
      <c r="C18" s="111" t="s">
        <v>4043</v>
      </c>
      <c r="F18" s="111">
        <f>9500/2</f>
        <v>4750</v>
      </c>
    </row>
    <row r="19" spans="1:6">
      <c r="C19" s="111" t="s">
        <v>4165</v>
      </c>
    </row>
    <row r="20" spans="1:6">
      <c r="A20" s="116"/>
      <c r="B20" s="338"/>
    </row>
    <row r="21" spans="1:6">
      <c r="B21" s="338"/>
    </row>
    <row r="22" spans="1:6">
      <c r="A22" s="116"/>
      <c r="B22" s="116"/>
    </row>
    <row r="23" spans="1:6">
      <c r="C23" s="2"/>
    </row>
    <row r="24" spans="1:6">
      <c r="C24" s="2"/>
    </row>
    <row r="25" spans="1:6">
      <c r="A25" s="116"/>
      <c r="B25" s="338"/>
    </row>
    <row r="26" spans="1:6">
      <c r="B26" s="338"/>
    </row>
    <row r="27" spans="1:6">
      <c r="F27" s="2"/>
    </row>
    <row r="28" spans="1:6">
      <c r="A28" s="116"/>
      <c r="B28" s="116"/>
      <c r="C28" s="2"/>
    </row>
    <row r="29" spans="1:6">
      <c r="B29" s="120"/>
    </row>
    <row r="30" spans="1:6">
      <c r="A30" s="116"/>
      <c r="B30" s="338"/>
    </row>
    <row r="31" spans="1:6">
      <c r="B31" s="338"/>
    </row>
    <row r="32" spans="1:6">
      <c r="C32" s="120"/>
    </row>
    <row r="34" spans="1:6" ht="13.5" thickBot="1">
      <c r="F34" s="127">
        <f>SUM(F18:F33)</f>
        <v>4750</v>
      </c>
    </row>
    <row r="35" spans="1:6" ht="13.5" thickTop="1"/>
    <row r="36" spans="1:6" ht="20.100000000000001" customHeight="1">
      <c r="A36" s="118" t="s">
        <v>1133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Four Thousand Seven Hundred Fifty and NO/100 -----------</v>
      </c>
      <c r="C36" s="119"/>
      <c r="D36" s="339"/>
      <c r="E36" s="340"/>
      <c r="F36" s="340"/>
    </row>
    <row r="37" spans="1:6">
      <c r="A37" s="120"/>
    </row>
    <row r="38" spans="1:6" ht="25.5">
      <c r="A38" s="111" t="s">
        <v>10</v>
      </c>
      <c r="D38" s="265" t="s">
        <v>2894</v>
      </c>
      <c r="E38" s="266"/>
      <c r="F38" s="267"/>
    </row>
    <row r="39" spans="1:6">
      <c r="D39" s="309"/>
      <c r="E39" s="309"/>
      <c r="F39" s="309"/>
    </row>
    <row r="40" spans="1:6">
      <c r="D40" s="310"/>
      <c r="E40" s="311"/>
      <c r="F40" s="311"/>
    </row>
    <row r="42" spans="1:6">
      <c r="A42" s="122"/>
      <c r="B42" s="122"/>
    </row>
    <row r="44" spans="1:6">
      <c r="A44" s="123" t="s">
        <v>8</v>
      </c>
      <c r="D44" s="123" t="s">
        <v>7</v>
      </c>
      <c r="F44" s="124"/>
    </row>
    <row r="48" spans="1:6">
      <c r="A48" s="122"/>
      <c r="B48" s="122"/>
      <c r="D48" s="122"/>
      <c r="E48" s="122"/>
      <c r="F48" s="122"/>
    </row>
    <row r="49" spans="1:4" s="126" customFormat="1" ht="17.100000000000001" customHeight="1">
      <c r="A49" s="111" t="s">
        <v>2948</v>
      </c>
      <c r="B49" s="125"/>
      <c r="D49" s="126" t="s">
        <v>3</v>
      </c>
    </row>
    <row r="50" spans="1:4">
      <c r="D50" s="111" t="s">
        <v>2</v>
      </c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3A52D-C93C-4AF5-A2B1-90A9E3D1DDA5}">
  <sheetPr codeName="Sheet610"/>
  <dimension ref="A1:I53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0.5703125" style="1" customWidth="1"/>
    <col min="4" max="4" width="21.85546875" style="1" customWidth="1"/>
    <col min="5" max="5" width="0.4257812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483" t="s">
        <v>24</v>
      </c>
      <c r="B8" s="483"/>
      <c r="C8" s="483"/>
      <c r="D8" s="483"/>
      <c r="E8" s="483"/>
      <c r="F8" s="22" t="s">
        <v>23</v>
      </c>
      <c r="G8" s="483"/>
      <c r="H8" s="483"/>
    </row>
    <row r="9" spans="1:8">
      <c r="A9" s="483"/>
      <c r="B9" s="483"/>
      <c r="C9" s="483"/>
      <c r="D9" s="483"/>
      <c r="E9" s="483"/>
      <c r="F9" s="484" t="s">
        <v>1127</v>
      </c>
      <c r="G9" s="489" t="s">
        <v>6742</v>
      </c>
      <c r="H9" s="483"/>
    </row>
    <row r="10" spans="1:8">
      <c r="A10" s="483" t="s">
        <v>6743</v>
      </c>
      <c r="B10" s="483"/>
      <c r="C10" s="483"/>
      <c r="D10" s="483"/>
      <c r="E10" s="483"/>
      <c r="F10" s="484" t="s">
        <v>1162</v>
      </c>
      <c r="G10" s="489" t="s">
        <v>6735</v>
      </c>
      <c r="H10" s="483"/>
    </row>
    <row r="11" spans="1:8">
      <c r="A11" s="483" t="s">
        <v>6744</v>
      </c>
      <c r="B11" s="483"/>
      <c r="C11" s="483"/>
      <c r="D11" s="483"/>
      <c r="E11" s="483"/>
      <c r="F11" s="484" t="s">
        <v>1163</v>
      </c>
      <c r="G11" s="489" t="s">
        <v>1094</v>
      </c>
      <c r="H11" s="483"/>
    </row>
    <row r="12" spans="1:8">
      <c r="A12" s="483" t="s">
        <v>6745</v>
      </c>
      <c r="B12" s="483"/>
      <c r="C12" s="483"/>
      <c r="D12" s="483"/>
      <c r="E12" s="483"/>
      <c r="F12" s="484" t="s">
        <v>1135</v>
      </c>
      <c r="G12" s="486" t="s">
        <v>6749</v>
      </c>
      <c r="H12" s="483"/>
    </row>
    <row r="13" spans="1:8">
      <c r="A13" s="483" t="s">
        <v>2955</v>
      </c>
      <c r="B13" s="483"/>
      <c r="C13" s="483"/>
      <c r="D13" s="483"/>
      <c r="E13" s="483"/>
      <c r="F13" s="483"/>
      <c r="G13" s="483"/>
      <c r="H13" s="483"/>
    </row>
    <row r="14" spans="1:8">
      <c r="A14" s="483"/>
      <c r="B14" s="483"/>
      <c r="C14" s="483"/>
      <c r="D14" s="483"/>
      <c r="E14" s="483"/>
      <c r="F14" s="483"/>
      <c r="G14" s="483"/>
      <c r="H14" s="483"/>
    </row>
    <row r="15" spans="1:8">
      <c r="A15" s="483"/>
      <c r="B15" s="483"/>
      <c r="C15" s="483"/>
      <c r="D15" s="483"/>
      <c r="E15" s="483"/>
      <c r="F15" s="483"/>
      <c r="G15" s="483"/>
      <c r="H15" s="483"/>
    </row>
    <row r="16" spans="1:8" s="15" customFormat="1" ht="20.100000000000001" customHeight="1">
      <c r="A16" s="18" t="s">
        <v>1122</v>
      </c>
      <c r="B16" s="515" t="s">
        <v>1098</v>
      </c>
      <c r="C16" s="515"/>
      <c r="D16" s="19" t="s">
        <v>14</v>
      </c>
      <c r="E16" s="19"/>
      <c r="F16" s="18"/>
      <c r="G16" s="17"/>
      <c r="H16" s="16" t="s">
        <v>13</v>
      </c>
    </row>
    <row r="17" spans="1:9">
      <c r="A17" s="483"/>
      <c r="B17" s="483"/>
      <c r="C17" s="483"/>
      <c r="D17" s="483"/>
      <c r="E17" s="483"/>
      <c r="F17" s="483"/>
      <c r="G17" s="483"/>
      <c r="H17" s="483"/>
    </row>
    <row r="18" spans="1:9">
      <c r="A18" s="485"/>
      <c r="B18" s="485"/>
      <c r="C18" s="485"/>
      <c r="D18" s="168" t="s">
        <v>6746</v>
      </c>
      <c r="E18" s="486"/>
      <c r="F18" s="483"/>
      <c r="G18" s="483"/>
    </row>
    <row r="19" spans="1:9">
      <c r="A19" s="485"/>
      <c r="B19" s="485"/>
      <c r="C19" s="485"/>
      <c r="D19" s="483"/>
      <c r="E19" s="483"/>
      <c r="F19" s="483"/>
      <c r="G19" s="483"/>
      <c r="H19" s="483"/>
      <c r="I19" s="483"/>
    </row>
    <row r="20" spans="1:9">
      <c r="A20" s="485"/>
      <c r="B20" s="485"/>
      <c r="C20" s="485"/>
      <c r="D20" s="483" t="s">
        <v>6747</v>
      </c>
      <c r="E20" s="483"/>
      <c r="F20" s="483"/>
      <c r="G20" s="483"/>
      <c r="H20" s="483">
        <v>40000</v>
      </c>
      <c r="I20" s="483"/>
    </row>
    <row r="21" spans="1:9">
      <c r="A21" s="485"/>
      <c r="B21" s="485"/>
      <c r="C21" s="485"/>
      <c r="D21" s="486" t="s">
        <v>6748</v>
      </c>
      <c r="E21" s="486"/>
      <c r="F21" s="483"/>
      <c r="G21" s="483"/>
      <c r="H21" s="483"/>
      <c r="I21" s="483"/>
    </row>
    <row r="22" spans="1:9">
      <c r="A22" s="485"/>
      <c r="B22" s="485"/>
      <c r="C22" s="485"/>
      <c r="D22" s="483"/>
      <c r="E22" s="483"/>
      <c r="F22" s="483"/>
      <c r="G22" s="483"/>
      <c r="H22" s="483"/>
      <c r="I22" s="483"/>
    </row>
    <row r="23" spans="1:9">
      <c r="A23" s="485"/>
      <c r="B23" s="486"/>
      <c r="C23" s="486"/>
      <c r="D23" s="483"/>
      <c r="E23" s="483"/>
      <c r="H23" s="483"/>
      <c r="I23" s="483"/>
    </row>
    <row r="24" spans="1:9">
      <c r="A24" s="485"/>
      <c r="B24" s="486"/>
      <c r="C24" s="486"/>
      <c r="D24" s="483"/>
      <c r="E24" s="483"/>
      <c r="F24" s="483"/>
      <c r="G24" s="483"/>
      <c r="I24" s="483"/>
    </row>
    <row r="25" spans="1:9">
      <c r="A25" s="485"/>
      <c r="B25" s="485"/>
      <c r="C25" s="485"/>
      <c r="D25" s="486"/>
      <c r="E25" s="486"/>
      <c r="F25" s="483"/>
      <c r="G25" s="483"/>
      <c r="H25" s="483"/>
      <c r="I25" s="483"/>
    </row>
    <row r="26" spans="1:9">
      <c r="A26" s="485"/>
      <c r="B26" s="486"/>
      <c r="C26" s="486"/>
      <c r="D26" s="483"/>
      <c r="E26" s="483"/>
      <c r="F26" s="483"/>
      <c r="G26" s="483"/>
      <c r="H26" s="483"/>
      <c r="I26" s="483"/>
    </row>
    <row r="27" spans="1:9">
      <c r="A27" s="485"/>
      <c r="B27" s="486"/>
      <c r="C27" s="486"/>
      <c r="D27" s="486"/>
      <c r="E27" s="486"/>
      <c r="F27" s="483"/>
      <c r="G27" s="483"/>
      <c r="H27" s="483"/>
      <c r="I27" s="483"/>
    </row>
    <row r="28" spans="1:9">
      <c r="A28" s="485"/>
      <c r="B28" s="486"/>
      <c r="C28" s="486"/>
      <c r="D28" s="483"/>
      <c r="E28" s="483"/>
      <c r="F28" s="483"/>
      <c r="G28" s="483"/>
      <c r="H28" s="483"/>
      <c r="I28" s="483"/>
    </row>
    <row r="29" spans="1:9">
      <c r="A29" s="485"/>
      <c r="B29" s="486"/>
      <c r="C29" s="486"/>
      <c r="D29" s="483"/>
      <c r="E29" s="483"/>
      <c r="F29" s="483"/>
      <c r="G29" s="483"/>
      <c r="H29" s="483"/>
      <c r="I29" s="483"/>
    </row>
    <row r="30" spans="1:9">
      <c r="A30" s="485"/>
      <c r="B30" s="486"/>
      <c r="C30" s="486"/>
      <c r="D30" s="483"/>
      <c r="E30" s="483"/>
      <c r="F30" s="483"/>
      <c r="G30" s="483"/>
      <c r="H30" s="483"/>
      <c r="I30" s="483"/>
    </row>
    <row r="31" spans="1:9">
      <c r="A31" s="483"/>
      <c r="B31" s="483"/>
      <c r="C31" s="483"/>
      <c r="D31" s="483"/>
      <c r="E31" s="483"/>
      <c r="F31" s="483"/>
      <c r="G31" s="483"/>
      <c r="I31" s="483"/>
    </row>
    <row r="32" spans="1:9" ht="13.5" thickBot="1">
      <c r="A32" s="483"/>
      <c r="B32" s="483"/>
      <c r="C32" s="483"/>
      <c r="D32" s="483"/>
      <c r="E32" s="483"/>
      <c r="F32" s="483"/>
      <c r="G32" s="483"/>
      <c r="H32" s="117">
        <f>SUM(H19:H31)</f>
        <v>40000</v>
      </c>
      <c r="I32" s="483"/>
    </row>
    <row r="33" spans="1:9" ht="13.5" thickTop="1">
      <c r="A33" s="483"/>
      <c r="B33" s="483"/>
      <c r="C33" s="483"/>
      <c r="D33" s="483"/>
      <c r="E33" s="483"/>
      <c r="F33" s="483"/>
      <c r="G33" s="483"/>
      <c r="H33" s="483"/>
      <c r="I33" s="483"/>
    </row>
    <row r="34" spans="1:9" ht="20.100000000000001" customHeight="1">
      <c r="A34" s="118" t="s">
        <v>1133</v>
      </c>
      <c r="B34" s="202" t="str">
        <f>IF(OR(H32&gt;1000000,H32&lt;=0),"",IF(H32&lt;1000,"",IF(MOD(H32,1000000)&gt;=100000,INDEX(numbers,TRUNC(MOD(H32,1000000)/100000,0)+1)&amp;" Hundred","")&amp;IF(MOD(H32,100000)&gt;=20000," "&amp;INDEX(tens,TRUNC(MOD(H32,100000)/10000,0)+1)&amp;IF(MOD(MOD(H32,100000),10000)&gt;=1000,"-"&amp;INDEX(numbers,TRUNC(MOD(MOD(H32,100000),10000)/1000,0)+1),""),IF(MOD(H32,100000)&gt;=1000," "&amp;INDEX(numbers,TRUNC(MOD(H32,100000)/1000,0)+1),""))&amp;" Thousand") &amp; IF(H32&lt;1,"Zero Dollars",IF(MOD(H32,1000)&gt;=100," "&amp;INDEX(numbers,TRUNC(MOD(H32,1000)/100,0)+1)&amp;" Hundred","")&amp;IF(MOD(H32,100)&gt;=20," "&amp;INDEX(tens,TRUNC(MOD(H32,100)/10,0)+1)&amp;IF(MOD(MOD(H32,100),10)&gt;=1,"-"&amp;INDEX(numbers,TRUNC(MOD(MOD(H32,100),10),0)+1),""),IF(MOD(H32,100)&gt;=1," "&amp;INDEX(numbers,TRUNC(MOD(H32,100),0)+1),""))&amp;"") &amp; " and " &amp; IF(MOD(H32,1)&lt;0.005,"NO",ROUND(MOD(H32,1)*100,0)) &amp; "/100 -----------")</f>
        <v xml:space="preserve"> Forty Thousand and NO/100 -----------</v>
      </c>
      <c r="C34" s="202"/>
      <c r="D34" s="119"/>
      <c r="E34" s="119"/>
      <c r="F34" s="119"/>
      <c r="G34" s="119"/>
      <c r="H34" s="119"/>
      <c r="I34" s="483"/>
    </row>
    <row r="35" spans="1:9">
      <c r="A35" s="486" t="s">
        <v>11</v>
      </c>
      <c r="B35" s="483"/>
      <c r="C35" s="483"/>
      <c r="D35" s="483"/>
      <c r="E35" s="483"/>
      <c r="F35" s="483"/>
      <c r="G35" s="483"/>
      <c r="H35" s="483"/>
    </row>
    <row r="36" spans="1:9" ht="25.5">
      <c r="A36" s="483" t="s">
        <v>10</v>
      </c>
      <c r="B36" s="483"/>
      <c r="C36" s="483"/>
      <c r="D36" s="483"/>
      <c r="E36" s="483"/>
      <c r="F36" s="265" t="s">
        <v>2894</v>
      </c>
      <c r="G36" s="266"/>
      <c r="H36" s="267"/>
    </row>
    <row r="37" spans="1:9">
      <c r="A37" s="483"/>
      <c r="B37" s="483"/>
      <c r="C37" s="483"/>
      <c r="D37" s="483"/>
      <c r="E37" s="483"/>
      <c r="F37" s="483"/>
      <c r="G37" s="483"/>
      <c r="H37" s="483"/>
    </row>
    <row r="38" spans="1:9">
      <c r="A38" s="126"/>
      <c r="B38" s="483"/>
      <c r="C38" s="483"/>
      <c r="D38" s="483"/>
      <c r="E38" s="483"/>
    </row>
    <row r="39" spans="1:9">
      <c r="A39" s="483"/>
      <c r="B39" s="483"/>
      <c r="C39" s="483"/>
      <c r="D39" s="121"/>
      <c r="E39" s="121"/>
      <c r="F39" s="483"/>
      <c r="G39" s="483"/>
      <c r="H39" s="483"/>
    </row>
    <row r="40" spans="1:9">
      <c r="A40" s="122"/>
      <c r="B40" s="122"/>
      <c r="C40" s="433"/>
      <c r="D40" s="483"/>
      <c r="E40" s="483"/>
      <c r="F40" s="483"/>
      <c r="G40" s="483"/>
      <c r="H40" s="483"/>
    </row>
    <row r="41" spans="1:9">
      <c r="B41" s="483"/>
      <c r="C41" s="483"/>
      <c r="D41" s="483"/>
      <c r="E41" s="483"/>
      <c r="F41" s="483"/>
      <c r="G41" s="483"/>
      <c r="H41" s="483"/>
    </row>
    <row r="42" spans="1:9">
      <c r="A42" s="487" t="s">
        <v>8</v>
      </c>
      <c r="D42" s="487" t="s">
        <v>8</v>
      </c>
      <c r="E42" s="483"/>
      <c r="F42" s="487" t="s">
        <v>7</v>
      </c>
      <c r="G42" s="483"/>
      <c r="H42" s="124"/>
    </row>
    <row r="43" spans="1:9">
      <c r="A43" s="483"/>
      <c r="B43" s="483"/>
      <c r="C43" s="483"/>
      <c r="D43" s="483"/>
      <c r="E43" s="483"/>
      <c r="F43" s="483"/>
      <c r="G43" s="483"/>
      <c r="H43" s="483"/>
    </row>
    <row r="44" spans="1:9">
      <c r="A44" s="483"/>
      <c r="B44" s="483"/>
      <c r="C44" s="483"/>
      <c r="D44" s="483"/>
      <c r="E44" s="483"/>
      <c r="F44" s="483"/>
      <c r="G44" s="483"/>
      <c r="H44" s="483"/>
    </row>
    <row r="45" spans="1:9">
      <c r="A45" s="483"/>
      <c r="B45" s="483"/>
      <c r="C45" s="483"/>
      <c r="D45" s="483"/>
      <c r="E45" s="483"/>
      <c r="F45" s="483"/>
      <c r="G45" s="483"/>
      <c r="H45" s="483"/>
    </row>
    <row r="46" spans="1:9">
      <c r="A46" s="122"/>
      <c r="B46" s="122"/>
      <c r="C46" s="433"/>
      <c r="D46" s="122"/>
      <c r="E46" s="483"/>
      <c r="F46" s="122"/>
      <c r="G46" s="122"/>
      <c r="H46" s="122"/>
    </row>
    <row r="47" spans="1:9" s="3" customFormat="1" ht="17.100000000000001" customHeight="1">
      <c r="A47" s="151" t="s">
        <v>2948</v>
      </c>
      <c r="B47" s="125"/>
      <c r="C47" s="125"/>
      <c r="D47" s="151" t="s">
        <v>103</v>
      </c>
      <c r="E47" s="126"/>
      <c r="F47" s="126" t="s">
        <v>3</v>
      </c>
      <c r="G47" s="126"/>
      <c r="H47" s="126"/>
    </row>
    <row r="48" spans="1:9">
      <c r="A48" s="483"/>
      <c r="B48" s="483"/>
      <c r="C48" s="483"/>
      <c r="D48" s="483"/>
      <c r="E48" s="483"/>
      <c r="F48" s="483" t="s">
        <v>2</v>
      </c>
      <c r="G48" s="483"/>
      <c r="H48" s="483"/>
    </row>
    <row r="49" spans="1:8">
      <c r="A49" s="483"/>
      <c r="B49" s="483"/>
      <c r="C49" s="483"/>
      <c r="D49" s="483"/>
      <c r="E49" s="483"/>
      <c r="F49" s="483"/>
      <c r="G49" s="483"/>
      <c r="H49" s="483"/>
    </row>
    <row r="50" spans="1:8">
      <c r="A50" s="483"/>
      <c r="B50" s="483"/>
      <c r="C50" s="483"/>
      <c r="D50" s="483"/>
      <c r="E50" s="483"/>
      <c r="F50" s="482" t="s">
        <v>1</v>
      </c>
      <c r="G50" s="483"/>
      <c r="H50" s="483"/>
    </row>
    <row r="51" spans="1:8">
      <c r="A51" s="483"/>
      <c r="B51" s="483"/>
      <c r="C51" s="483"/>
      <c r="D51" s="483"/>
      <c r="E51" s="483"/>
      <c r="F51" s="482" t="s">
        <v>0</v>
      </c>
      <c r="G51" s="483"/>
      <c r="H51" s="483"/>
    </row>
    <row r="52" spans="1:8">
      <c r="A52" s="483"/>
      <c r="B52" s="483"/>
      <c r="C52" s="483"/>
      <c r="D52" s="483"/>
      <c r="E52" s="483"/>
      <c r="F52" s="483"/>
      <c r="G52" s="483"/>
      <c r="H52" s="483"/>
    </row>
    <row r="53" spans="1:8">
      <c r="A53" s="483"/>
      <c r="B53" s="483"/>
      <c r="C53" s="483"/>
      <c r="D53" s="483"/>
      <c r="E53" s="483"/>
      <c r="F53" s="483"/>
      <c r="G53" s="483"/>
      <c r="H53" s="48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Sheet552">
    <pageSetUpPr fitToPage="1"/>
  </sheetPr>
  <dimension ref="A1:G60"/>
  <sheetViews>
    <sheetView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7.42578125" style="227" customWidth="1"/>
    <col min="3" max="3" width="19.85546875" style="227" customWidth="1"/>
    <col min="4" max="4" width="16.42578125" style="227" customWidth="1"/>
    <col min="5" max="5" width="8.140625" style="227" customWidth="1"/>
    <col min="6" max="6" width="13.28515625" style="227" customWidth="1"/>
    <col min="7" max="7" width="16.140625" style="209" customWidth="1"/>
    <col min="8" max="8" width="9.7109375" style="209" bestFit="1" customWidth="1"/>
    <col min="9" max="9" width="9.140625" style="209"/>
    <col min="10" max="10" width="12" style="209" bestFit="1" customWidth="1"/>
    <col min="11" max="16384" width="9.140625" style="209"/>
  </cols>
  <sheetData>
    <row r="1" spans="1:7" ht="15" customHeight="1">
      <c r="A1" s="531" t="s">
        <v>26</v>
      </c>
      <c r="B1" s="531"/>
      <c r="C1" s="531"/>
      <c r="D1" s="531"/>
      <c r="E1" s="531"/>
      <c r="F1" s="531"/>
    </row>
    <row r="2" spans="1:7" ht="12.75" customHeight="1">
      <c r="A2" s="532" t="s">
        <v>25</v>
      </c>
      <c r="B2" s="532"/>
      <c r="C2" s="532"/>
      <c r="D2" s="532"/>
      <c r="E2" s="532"/>
      <c r="F2" s="532"/>
    </row>
    <row r="3" spans="1:7" ht="12.75" customHeight="1">
      <c r="A3" s="532" t="s">
        <v>1480</v>
      </c>
      <c r="B3" s="532"/>
      <c r="C3" s="532"/>
      <c r="D3" s="532"/>
      <c r="E3" s="532"/>
      <c r="F3" s="532"/>
    </row>
    <row r="4" spans="1:7" ht="12.75" customHeight="1">
      <c r="A4" s="532" t="s">
        <v>1684</v>
      </c>
      <c r="B4" s="532"/>
      <c r="C4" s="532"/>
      <c r="D4" s="532"/>
      <c r="E4" s="532"/>
      <c r="F4" s="532"/>
    </row>
    <row r="5" spans="1:7" ht="12.75" customHeight="1">
      <c r="A5" s="131"/>
      <c r="B5" s="131"/>
      <c r="C5" s="131"/>
      <c r="D5" s="131"/>
      <c r="E5" s="131"/>
      <c r="F5" s="131"/>
    </row>
    <row r="6" spans="1:7" ht="12.75" customHeight="1">
      <c r="A6" s="131"/>
      <c r="B6" s="131"/>
      <c r="C6" s="131"/>
      <c r="D6" s="131"/>
      <c r="E6" s="131"/>
      <c r="F6" s="131"/>
    </row>
    <row r="7" spans="1:7" ht="12.75" customHeight="1">
      <c r="A7" s="131"/>
      <c r="B7" s="131"/>
      <c r="C7" s="131"/>
      <c r="D7" s="131"/>
      <c r="E7" s="131"/>
      <c r="F7" s="131"/>
    </row>
    <row r="8" spans="1:7" s="211" customFormat="1" ht="12.75" customHeight="1">
      <c r="A8" s="147" t="s">
        <v>24</v>
      </c>
      <c r="B8" s="147"/>
      <c r="C8" s="147"/>
      <c r="D8" s="210" t="s">
        <v>23</v>
      </c>
      <c r="E8" s="147"/>
      <c r="F8" s="147"/>
    </row>
    <row r="9" spans="1:7" s="211" customFormat="1" ht="12.75" customHeight="1">
      <c r="A9" s="147"/>
      <c r="B9" s="147"/>
      <c r="C9" s="147"/>
      <c r="D9" s="212" t="s">
        <v>1723</v>
      </c>
      <c r="E9" s="111" t="s">
        <v>4166</v>
      </c>
      <c r="F9" s="131"/>
    </row>
    <row r="10" spans="1:7" s="211" customFormat="1" ht="12.75" customHeight="1">
      <c r="A10" s="147" t="s">
        <v>3972</v>
      </c>
      <c r="B10" s="147"/>
      <c r="C10" s="147"/>
      <c r="D10" s="212" t="s">
        <v>1340</v>
      </c>
      <c r="E10" s="123" t="s">
        <v>4161</v>
      </c>
      <c r="F10" s="131"/>
    </row>
    <row r="11" spans="1:7" s="211" customFormat="1" ht="12.75" customHeight="1">
      <c r="A11" s="147" t="s">
        <v>3973</v>
      </c>
      <c r="B11" s="147"/>
      <c r="C11" s="147"/>
      <c r="D11" s="212" t="s">
        <v>1341</v>
      </c>
      <c r="E11" s="112" t="s">
        <v>1094</v>
      </c>
      <c r="F11" s="131"/>
    </row>
    <row r="12" spans="1:7" s="211" customFormat="1" ht="12.75" customHeight="1">
      <c r="A12" s="147" t="s">
        <v>3974</v>
      </c>
      <c r="B12" s="147"/>
      <c r="C12" s="147"/>
      <c r="D12" s="212" t="s">
        <v>2136</v>
      </c>
      <c r="E12" s="112" t="s">
        <v>4167</v>
      </c>
      <c r="F12" s="131"/>
    </row>
    <row r="13" spans="1:7" s="211" customFormat="1" ht="12.75" customHeight="1">
      <c r="A13" s="147" t="s">
        <v>3975</v>
      </c>
      <c r="B13" s="147"/>
      <c r="C13" s="147"/>
      <c r="D13" s="147"/>
      <c r="E13" s="131"/>
      <c r="F13" s="147"/>
    </row>
    <row r="14" spans="1:7" s="211" customFormat="1" ht="12.75" customHeight="1">
      <c r="A14" s="147" t="s">
        <v>3976</v>
      </c>
      <c r="B14" s="147"/>
      <c r="C14" s="147"/>
      <c r="D14" s="147"/>
      <c r="E14" s="147"/>
      <c r="F14" s="147"/>
    </row>
    <row r="15" spans="1:7" s="213" customFormat="1" ht="12.75" customHeight="1">
      <c r="A15" s="147"/>
      <c r="B15" s="147"/>
      <c r="C15" s="147"/>
      <c r="D15" s="147"/>
      <c r="E15" s="147"/>
      <c r="F15" s="147"/>
    </row>
    <row r="16" spans="1:7" s="213" customFormat="1">
      <c r="A16" s="91" t="s">
        <v>1122</v>
      </c>
      <c r="B16" s="91" t="s">
        <v>1098</v>
      </c>
      <c r="C16" s="92" t="s">
        <v>14</v>
      </c>
      <c r="D16" s="90"/>
      <c r="E16" s="91"/>
      <c r="F16" s="94" t="s">
        <v>13</v>
      </c>
      <c r="G16" s="214"/>
    </row>
    <row r="17" spans="1:7" s="213" customFormat="1" ht="12.75" customHeight="1">
      <c r="A17" s="215"/>
      <c r="B17" s="216"/>
      <c r="C17" s="217"/>
      <c r="D17" s="216"/>
      <c r="E17" s="218"/>
      <c r="F17" s="219"/>
      <c r="G17" s="214"/>
    </row>
    <row r="18" spans="1:7" s="211" customFormat="1" ht="12.75" customHeight="1">
      <c r="A18" s="220"/>
      <c r="B18" s="145"/>
      <c r="C18" s="95" t="s">
        <v>4168</v>
      </c>
      <c r="D18" s="147"/>
      <c r="E18" s="147"/>
      <c r="F18" s="147"/>
      <c r="G18" s="221"/>
    </row>
    <row r="19" spans="1:7" s="211" customFormat="1" ht="12.75" customHeight="1">
      <c r="A19" s="220"/>
      <c r="B19" s="145"/>
      <c r="C19" s="147"/>
      <c r="D19" s="147"/>
      <c r="E19" s="147"/>
      <c r="F19" s="147"/>
      <c r="G19" s="221"/>
    </row>
    <row r="20" spans="1:7" s="224" customFormat="1" ht="12.75" customHeight="1">
      <c r="A20" s="281" t="s">
        <v>4156</v>
      </c>
      <c r="B20" s="281" t="s">
        <v>4169</v>
      </c>
      <c r="C20" s="147" t="s">
        <v>4170</v>
      </c>
      <c r="F20" s="147">
        <v>300</v>
      </c>
    </row>
    <row r="21" spans="1:7" s="224" customFormat="1" ht="12.75" customHeight="1">
      <c r="A21" s="220"/>
      <c r="B21" s="145"/>
      <c r="C21" s="147"/>
      <c r="D21" s="147"/>
      <c r="E21" s="147"/>
      <c r="F21" s="147"/>
      <c r="G21" s="147"/>
    </row>
    <row r="22" spans="1:7" s="211" customFormat="1" ht="12.75" customHeight="1">
      <c r="A22" s="225"/>
      <c r="B22" s="145"/>
      <c r="C22" s="147"/>
      <c r="D22" s="147"/>
      <c r="E22" s="147"/>
      <c r="F22" s="147"/>
      <c r="G22" s="147"/>
    </row>
    <row r="23" spans="1:7" s="224" customFormat="1" ht="12.75" customHeight="1">
      <c r="A23" s="147"/>
      <c r="B23" s="145"/>
      <c r="C23" s="95"/>
      <c r="D23" s="147"/>
      <c r="E23" s="147"/>
      <c r="F23" s="147"/>
      <c r="G23" s="147"/>
    </row>
    <row r="24" spans="1:7" s="224" customFormat="1" ht="12.75" customHeight="1">
      <c r="A24" s="220"/>
      <c r="B24" s="145"/>
      <c r="C24" s="147"/>
      <c r="D24" s="147"/>
      <c r="E24" s="147"/>
      <c r="F24" s="147"/>
      <c r="G24" s="147"/>
    </row>
    <row r="25" spans="1:7" s="224" customFormat="1" ht="12.75" customHeight="1">
      <c r="A25" s="220"/>
      <c r="B25" s="145"/>
      <c r="C25" s="95"/>
      <c r="G25" s="147"/>
    </row>
    <row r="26" spans="1:7" s="224" customFormat="1" ht="12.75" customHeight="1">
      <c r="A26" s="147"/>
      <c r="B26" s="145"/>
      <c r="C26" s="147"/>
      <c r="D26" s="147"/>
      <c r="E26" s="147"/>
      <c r="F26" s="147"/>
      <c r="G26" s="147"/>
    </row>
    <row r="27" spans="1:7" s="224" customFormat="1" ht="12.75" customHeight="1">
      <c r="A27" s="220"/>
      <c r="B27" s="145"/>
      <c r="C27" s="147"/>
      <c r="D27" s="147"/>
      <c r="E27" s="147"/>
      <c r="F27" s="147"/>
      <c r="G27" s="147"/>
    </row>
    <row r="28" spans="1:7" s="224" customFormat="1" ht="12.75" customHeight="1">
      <c r="A28" s="220"/>
      <c r="B28" s="145"/>
      <c r="C28" s="147"/>
      <c r="D28" s="147"/>
      <c r="E28" s="147"/>
      <c r="F28" s="147"/>
      <c r="G28" s="147"/>
    </row>
    <row r="29" spans="1:7" s="224" customFormat="1" ht="12.75" customHeight="1">
      <c r="A29" s="222"/>
      <c r="B29" s="145"/>
      <c r="C29" s="95"/>
      <c r="D29" s="147"/>
      <c r="E29" s="147"/>
      <c r="F29" s="147"/>
      <c r="G29" s="147"/>
    </row>
    <row r="30" spans="1:7" s="227" customFormat="1" ht="12.75" customHeight="1">
      <c r="A30" s="222"/>
      <c r="B30" s="145"/>
      <c r="C30" s="147"/>
      <c r="D30" s="147"/>
      <c r="E30" s="147"/>
      <c r="F30" s="147"/>
      <c r="G30" s="131"/>
    </row>
    <row r="31" spans="1:7" ht="12.75" customHeight="1">
      <c r="A31" s="222"/>
      <c r="B31" s="145"/>
      <c r="C31" s="147"/>
      <c r="D31" s="147"/>
      <c r="E31" s="147"/>
      <c r="F31" s="147"/>
      <c r="G31" s="131"/>
    </row>
    <row r="32" spans="1:7" s="211" customFormat="1" ht="12.75" customHeight="1">
      <c r="A32" s="147"/>
      <c r="B32" s="147"/>
      <c r="C32" s="147"/>
      <c r="D32" s="147"/>
      <c r="E32" s="131"/>
      <c r="F32" s="131"/>
      <c r="G32" s="147"/>
    </row>
    <row r="33" spans="1:7" s="211" customFormat="1" ht="12.75" customHeight="1">
      <c r="A33" s="222"/>
      <c r="B33" s="145"/>
      <c r="C33" s="147"/>
      <c r="D33" s="147"/>
      <c r="E33" s="147"/>
      <c r="F33" s="147"/>
      <c r="G33" s="147"/>
    </row>
    <row r="34" spans="1:7" s="211" customFormat="1" ht="12.75" customHeight="1">
      <c r="A34" s="225"/>
      <c r="B34" s="145"/>
      <c r="C34" s="147"/>
      <c r="D34" s="147"/>
      <c r="E34" s="147"/>
      <c r="F34" s="147"/>
      <c r="G34" s="147"/>
    </row>
    <row r="35" spans="1:7" s="211" customFormat="1" ht="15.75" customHeight="1" thickBot="1">
      <c r="A35" s="327"/>
      <c r="B35" s="147"/>
      <c r="C35" s="147"/>
      <c r="D35" s="147"/>
      <c r="E35" s="147"/>
      <c r="F35" s="230">
        <f>SUM(F19:F33)</f>
        <v>300</v>
      </c>
      <c r="G35" s="147"/>
    </row>
    <row r="36" spans="1:7" s="211" customFormat="1" ht="12.75" customHeight="1" thickTop="1">
      <c r="A36" s="229"/>
      <c r="B36" s="224"/>
      <c r="C36" s="224"/>
      <c r="D36" s="224"/>
      <c r="E36" s="224"/>
      <c r="F36" s="224"/>
      <c r="G36" s="221"/>
    </row>
    <row r="37" spans="1:7" ht="20.100000000000001" customHeight="1">
      <c r="A37" s="138" t="s">
        <v>1133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Three Hundred and NO/100 -----------</v>
      </c>
      <c r="C37" s="231"/>
      <c r="D37" s="231"/>
      <c r="E37" s="231"/>
      <c r="F37" s="231"/>
    </row>
    <row r="38" spans="1:7" ht="12.75" customHeight="1">
      <c r="A38" s="232"/>
    </row>
    <row r="39" spans="1:7" ht="27" customHeight="1">
      <c r="A39" s="131" t="s">
        <v>10</v>
      </c>
      <c r="B39" s="131"/>
      <c r="C39" s="131"/>
      <c r="D39" s="283" t="s">
        <v>2894</v>
      </c>
      <c r="E39" s="284"/>
      <c r="F39" s="285"/>
    </row>
    <row r="40" spans="1:7" ht="12.75" customHeight="1">
      <c r="A40" s="131"/>
      <c r="B40" s="131"/>
      <c r="C40" s="131"/>
      <c r="D40" s="131"/>
      <c r="E40" s="131"/>
      <c r="F40" s="131"/>
    </row>
    <row r="41" spans="1:7" ht="12.75" customHeight="1">
      <c r="A41" s="131"/>
      <c r="B41" s="131"/>
      <c r="C41" s="131"/>
      <c r="D41" s="131"/>
      <c r="E41" s="131"/>
      <c r="F41" s="131"/>
    </row>
    <row r="42" spans="1:7">
      <c r="A42" s="301"/>
      <c r="B42" s="131"/>
      <c r="C42" s="131"/>
      <c r="D42" s="291"/>
      <c r="E42" s="291"/>
      <c r="F42" s="291"/>
    </row>
    <row r="43" spans="1:7">
      <c r="A43" s="248"/>
      <c r="B43" s="142"/>
      <c r="C43" s="131"/>
      <c r="D43" s="286"/>
      <c r="E43" s="287"/>
      <c r="F43" s="287"/>
    </row>
    <row r="44" spans="1:7" ht="12.75" customHeight="1">
      <c r="A44" s="301"/>
      <c r="B44" s="301"/>
      <c r="C44" s="131"/>
      <c r="D44" s="131"/>
      <c r="E44" s="131"/>
      <c r="F44" s="144"/>
    </row>
    <row r="45" spans="1:7" ht="12.75" customHeight="1">
      <c r="A45" s="301"/>
      <c r="B45" s="301"/>
      <c r="C45" s="131"/>
      <c r="D45" s="131"/>
      <c r="E45" s="131"/>
      <c r="F45" s="144"/>
    </row>
    <row r="46" spans="1:7" ht="12.75" customHeight="1">
      <c r="A46" s="143" t="s">
        <v>8</v>
      </c>
      <c r="B46" s="131"/>
      <c r="C46" s="131"/>
      <c r="D46" s="131"/>
      <c r="E46" s="131"/>
      <c r="F46" s="131"/>
    </row>
    <row r="47" spans="1:7" ht="12.75" customHeight="1">
      <c r="A47" s="301"/>
      <c r="B47" s="131"/>
      <c r="C47" s="131"/>
      <c r="D47" s="143" t="s">
        <v>7</v>
      </c>
      <c r="E47" s="131"/>
      <c r="F47" s="131"/>
    </row>
    <row r="48" spans="1:7" ht="12.75" customHeight="1">
      <c r="A48" s="143"/>
      <c r="B48" s="131"/>
      <c r="C48" s="131"/>
      <c r="D48" s="131"/>
      <c r="E48" s="131"/>
      <c r="F48" s="131"/>
    </row>
    <row r="49" spans="1:6" ht="12.75" customHeight="1">
      <c r="A49" s="143"/>
      <c r="B49" s="131"/>
      <c r="C49" s="131"/>
      <c r="D49" s="131"/>
      <c r="E49" s="131"/>
      <c r="F49" s="131"/>
    </row>
    <row r="50" spans="1:6" s="211" customFormat="1" ht="12.75" customHeight="1">
      <c r="A50" s="143"/>
      <c r="B50" s="131"/>
      <c r="C50" s="131"/>
      <c r="D50" s="131"/>
      <c r="E50" s="147"/>
      <c r="F50" s="147"/>
    </row>
    <row r="51" spans="1:6" ht="12.75" customHeight="1">
      <c r="A51" s="248"/>
      <c r="B51" s="142"/>
      <c r="C51" s="131"/>
      <c r="D51" s="142"/>
      <c r="E51" s="142"/>
      <c r="F51" s="142"/>
    </row>
    <row r="52" spans="1:6" ht="15" customHeight="1">
      <c r="A52" s="143" t="s">
        <v>2948</v>
      </c>
      <c r="B52" s="146"/>
      <c r="C52" s="147"/>
      <c r="D52" s="147" t="s">
        <v>3</v>
      </c>
      <c r="E52" s="131"/>
      <c r="F52" s="131"/>
    </row>
    <row r="53" spans="1:6" ht="12.75" customHeight="1">
      <c r="A53" s="143"/>
      <c r="B53" s="131"/>
      <c r="C53" s="131"/>
      <c r="D53" s="131" t="s">
        <v>2</v>
      </c>
      <c r="E53" s="131"/>
      <c r="F53" s="131"/>
    </row>
    <row r="54" spans="1:6" ht="12.75" customHeight="1">
      <c r="A54" s="131"/>
      <c r="B54" s="131"/>
      <c r="C54" s="131"/>
      <c r="D54" s="131"/>
      <c r="E54" s="131"/>
      <c r="F54" s="131"/>
    </row>
    <row r="55" spans="1:6" ht="12.75" customHeight="1">
      <c r="A55" s="131"/>
      <c r="B55" s="131"/>
      <c r="C55" s="131"/>
      <c r="D55" s="110" t="s">
        <v>1</v>
      </c>
      <c r="E55" s="131"/>
      <c r="F55" s="131"/>
    </row>
    <row r="56" spans="1:6" ht="12.75" customHeight="1">
      <c r="A56" s="131"/>
      <c r="B56" s="131"/>
      <c r="C56" s="131"/>
      <c r="D56" s="110" t="s">
        <v>0</v>
      </c>
      <c r="E56" s="131"/>
      <c r="F56" s="131"/>
    </row>
    <row r="57" spans="1:6" ht="12.75" customHeight="1">
      <c r="A57" s="131"/>
      <c r="B57" s="131"/>
      <c r="C57" s="131"/>
      <c r="D57" s="131"/>
      <c r="E57" s="131"/>
      <c r="F57" s="131"/>
    </row>
    <row r="58" spans="1:6" ht="12.75" customHeight="1">
      <c r="A58" s="131"/>
      <c r="B58" s="131"/>
      <c r="C58" s="131"/>
      <c r="D58" s="131"/>
      <c r="E58" s="131"/>
      <c r="F58" s="131"/>
    </row>
    <row r="59" spans="1:6">
      <c r="A59" s="131"/>
      <c r="B59" s="131"/>
      <c r="C59" s="131"/>
      <c r="D59" s="131"/>
      <c r="E59" s="131"/>
      <c r="F59" s="131"/>
    </row>
    <row r="60" spans="1:6">
      <c r="A60" s="131"/>
      <c r="B60" s="131"/>
      <c r="C60" s="131"/>
      <c r="D60" s="131"/>
      <c r="E60" s="131"/>
      <c r="F60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Sheet434">
    <pageSetUpPr fitToPage="1"/>
  </sheetPr>
  <dimension ref="A1:H57"/>
  <sheetViews>
    <sheetView topLeftCell="A4" zoomScaleNormal="100" workbookViewId="0">
      <selection activeCell="G9" sqref="G9:G13"/>
    </sheetView>
  </sheetViews>
  <sheetFormatPr defaultRowHeight="12.75"/>
  <cols>
    <col min="1" max="1" width="15" style="1" customWidth="1"/>
    <col min="2" max="2" width="15.140625" style="1" customWidth="1"/>
    <col min="3" max="3" width="1" style="1" customWidth="1"/>
    <col min="4" max="4" width="28.42578125" style="1" customWidth="1"/>
    <col min="5" max="5" width="0.71093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11" t="s">
        <v>4728</v>
      </c>
      <c r="H9" s="111"/>
    </row>
    <row r="10" spans="1:8">
      <c r="A10" s="111" t="s">
        <v>3952</v>
      </c>
      <c r="B10" s="111"/>
      <c r="C10" s="111"/>
      <c r="D10" s="111"/>
      <c r="E10" s="111"/>
      <c r="F10" s="112" t="s">
        <v>1162</v>
      </c>
      <c r="G10" s="112" t="s">
        <v>4727</v>
      </c>
      <c r="H10" s="111"/>
    </row>
    <row r="11" spans="1:8">
      <c r="A11" s="111" t="s">
        <v>3953</v>
      </c>
      <c r="B11" s="111"/>
      <c r="C11" s="111"/>
      <c r="D11" s="111"/>
      <c r="E11" s="111"/>
      <c r="F11" s="112" t="s">
        <v>1163</v>
      </c>
      <c r="G11" s="112" t="s">
        <v>1094</v>
      </c>
      <c r="H11" s="111"/>
    </row>
    <row r="12" spans="1:8">
      <c r="A12" s="111" t="s">
        <v>3954</v>
      </c>
      <c r="B12" s="111"/>
      <c r="C12" s="111"/>
      <c r="D12" s="111"/>
      <c r="E12" s="111"/>
      <c r="F12" s="112" t="s">
        <v>1135</v>
      </c>
      <c r="G12" s="112" t="s">
        <v>4729</v>
      </c>
      <c r="H12" s="111"/>
    </row>
    <row r="13" spans="1:8">
      <c r="A13" s="111" t="s">
        <v>3955</v>
      </c>
      <c r="B13" s="111"/>
      <c r="C13" s="111"/>
      <c r="D13" s="111"/>
      <c r="E13" s="111"/>
      <c r="F13" s="111"/>
      <c r="G13" s="111"/>
      <c r="H13" s="111"/>
    </row>
    <row r="14" spans="1:8">
      <c r="A14" s="111" t="s">
        <v>1287</v>
      </c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2" t="s">
        <v>4731</v>
      </c>
      <c r="E18" s="2"/>
      <c r="F18" s="111"/>
      <c r="G18" s="111"/>
      <c r="H18" s="111"/>
    </row>
    <row r="19" spans="1:8">
      <c r="A19" s="116"/>
      <c r="B19" s="116"/>
      <c r="C19" s="116"/>
      <c r="D19" s="111"/>
      <c r="E19" s="111"/>
      <c r="F19" s="111"/>
      <c r="G19" s="111"/>
      <c r="H19" s="111"/>
    </row>
    <row r="20" spans="1:8">
      <c r="A20" s="116" t="s">
        <v>4718</v>
      </c>
      <c r="B20" s="335" t="s">
        <v>4730</v>
      </c>
      <c r="C20" s="116"/>
      <c r="D20" s="111" t="s">
        <v>4732</v>
      </c>
      <c r="E20" s="111"/>
      <c r="F20" s="111"/>
      <c r="G20" s="111"/>
      <c r="H20" s="111">
        <v>5000</v>
      </c>
    </row>
    <row r="21" spans="1:8">
      <c r="A21" s="111"/>
      <c r="B21" s="111"/>
      <c r="C21" s="111"/>
      <c r="D21" s="111"/>
      <c r="E21" s="111"/>
      <c r="F21" s="111"/>
      <c r="G21" s="111"/>
      <c r="H21" s="111"/>
    </row>
    <row r="22" spans="1:8">
      <c r="A22" s="116"/>
      <c r="B22" s="116"/>
      <c r="C22" s="116"/>
      <c r="D22" s="111"/>
      <c r="E22" s="111"/>
      <c r="F22" s="111"/>
      <c r="G22" s="111"/>
      <c r="H22" s="111"/>
    </row>
    <row r="23" spans="1:8">
      <c r="B23" s="116"/>
      <c r="C23" s="116"/>
    </row>
    <row r="24" spans="1:8">
      <c r="B24" s="116"/>
      <c r="C24" s="116"/>
      <c r="D24" s="111"/>
      <c r="E24" s="111"/>
      <c r="H24" s="111"/>
    </row>
    <row r="25" spans="1:8">
      <c r="B25" s="116"/>
      <c r="C25" s="116"/>
    </row>
    <row r="26" spans="1:8">
      <c r="A26" s="116"/>
      <c r="B26" s="116"/>
      <c r="C26" s="116"/>
      <c r="D26" s="111"/>
      <c r="E26" s="111"/>
      <c r="H26" s="111"/>
    </row>
    <row r="27" spans="1:8">
      <c r="A27" s="116"/>
      <c r="B27" s="116"/>
      <c r="C27" s="116"/>
      <c r="D27" s="111"/>
      <c r="E27" s="111"/>
      <c r="F27" s="111"/>
      <c r="G27" s="111"/>
      <c r="H27" s="111"/>
    </row>
    <row r="28" spans="1:8">
      <c r="A28" s="111"/>
      <c r="B28" s="111"/>
      <c r="C28" s="111"/>
      <c r="D28" s="111"/>
      <c r="E28" s="111"/>
      <c r="F28" s="111"/>
      <c r="G28" s="111"/>
      <c r="H28" s="111"/>
    </row>
    <row r="29" spans="1:8">
      <c r="A29" s="116"/>
      <c r="B29" s="116"/>
      <c r="C29" s="116"/>
      <c r="D29" s="111"/>
      <c r="E29" s="111"/>
      <c r="F29" s="111"/>
      <c r="G29" s="111"/>
      <c r="H29" s="111"/>
    </row>
    <row r="30" spans="1:8">
      <c r="B30" s="116"/>
      <c r="C30" s="116"/>
    </row>
    <row r="31" spans="1:8">
      <c r="A31" s="116"/>
      <c r="B31" s="116"/>
      <c r="C31" s="116"/>
      <c r="D31" s="111"/>
      <c r="E31" s="111"/>
      <c r="H31" s="111"/>
    </row>
    <row r="34" spans="1:8">
      <c r="A34" s="111"/>
      <c r="B34" s="111"/>
      <c r="C34" s="111"/>
      <c r="D34" s="111"/>
      <c r="E34" s="111"/>
      <c r="F34" s="111"/>
      <c r="G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5000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Five Thousand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23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B44" s="111"/>
      <c r="C44" s="111"/>
      <c r="D44" s="151"/>
      <c r="E44" s="111"/>
      <c r="F44" s="111"/>
      <c r="G44" s="111"/>
      <c r="H44" s="111"/>
    </row>
    <row r="45" spans="1:8">
      <c r="B45" s="111"/>
      <c r="C45" s="111"/>
      <c r="D45" s="151"/>
      <c r="E45" s="111"/>
      <c r="F45" s="111"/>
      <c r="G45" s="111"/>
      <c r="H45" s="111"/>
    </row>
    <row r="46" spans="1:8">
      <c r="A46" s="123" t="s">
        <v>8</v>
      </c>
      <c r="D46" s="123"/>
      <c r="E46" s="111"/>
      <c r="F46" s="123" t="s">
        <v>7</v>
      </c>
      <c r="G46" s="111"/>
      <c r="H46" s="124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22"/>
      <c r="B50" s="122"/>
      <c r="C50" s="111"/>
      <c r="D50" s="111"/>
      <c r="E50" s="111"/>
      <c r="F50" s="122"/>
      <c r="G50" s="122"/>
      <c r="H50" s="122"/>
    </row>
    <row r="51" spans="1:8" s="3" customFormat="1" ht="17.100000000000001" customHeight="1">
      <c r="A51" s="151" t="s">
        <v>2948</v>
      </c>
      <c r="B51" s="125"/>
      <c r="C51" s="125"/>
      <c r="D51" s="151"/>
      <c r="E51" s="126"/>
      <c r="F51" s="126" t="s">
        <v>3</v>
      </c>
      <c r="G51" s="126"/>
      <c r="H51" s="126"/>
    </row>
    <row r="52" spans="1:8">
      <c r="A52" s="111"/>
      <c r="B52" s="111"/>
      <c r="C52" s="111"/>
      <c r="D52" s="111"/>
      <c r="E52" s="111"/>
      <c r="F52" s="111" t="s">
        <v>2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2" t="s">
        <v>1</v>
      </c>
      <c r="G54" s="111"/>
      <c r="H54" s="111"/>
    </row>
    <row r="55" spans="1:8">
      <c r="A55" s="111"/>
      <c r="B55" s="111"/>
      <c r="C55" s="111"/>
      <c r="D55" s="111"/>
      <c r="E55" s="111"/>
      <c r="F55" s="2" t="s">
        <v>0</v>
      </c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Sheet274">
    <pageSetUpPr fitToPage="1"/>
  </sheetPr>
  <dimension ref="A1:G52"/>
  <sheetViews>
    <sheetView topLeftCell="A7" workbookViewId="0">
      <selection activeCell="G9" sqref="G9:G13"/>
    </sheetView>
  </sheetViews>
  <sheetFormatPr defaultRowHeight="12.75"/>
  <cols>
    <col min="1" max="1" width="15.85546875" style="131" customWidth="1"/>
    <col min="2" max="2" width="11.85546875" style="131" customWidth="1"/>
    <col min="3" max="3" width="21" style="131" customWidth="1"/>
    <col min="4" max="4" width="12.85546875" style="131" customWidth="1"/>
    <col min="5" max="5" width="8.285156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1123</v>
      </c>
      <c r="E9" s="131" t="s">
        <v>2336</v>
      </c>
    </row>
    <row r="10" spans="1:6">
      <c r="A10" s="131" t="s">
        <v>2338</v>
      </c>
      <c r="D10" s="132" t="s">
        <v>1124</v>
      </c>
      <c r="E10" s="132" t="s">
        <v>2329</v>
      </c>
    </row>
    <row r="11" spans="1:6">
      <c r="A11" s="131" t="s">
        <v>2339</v>
      </c>
      <c r="D11" s="132" t="s">
        <v>1125</v>
      </c>
      <c r="E11" s="132" t="s">
        <v>1094</v>
      </c>
    </row>
    <row r="12" spans="1:6">
      <c r="A12" s="131" t="s">
        <v>2340</v>
      </c>
      <c r="D12" s="132" t="s">
        <v>1096</v>
      </c>
      <c r="E12" s="132" t="s">
        <v>2337</v>
      </c>
    </row>
    <row r="13" spans="1:6">
      <c r="A13" s="131" t="s">
        <v>1496</v>
      </c>
    </row>
    <row r="14" spans="1:6">
      <c r="A14" s="131" t="s">
        <v>2341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8" spans="1:7">
      <c r="C18" s="110" t="s">
        <v>2319</v>
      </c>
      <c r="G18" s="250"/>
    </row>
    <row r="20" spans="1:7">
      <c r="A20" s="158" t="s">
        <v>2342</v>
      </c>
      <c r="B20" s="158"/>
      <c r="C20" s="140" t="s">
        <v>2343</v>
      </c>
      <c r="F20" s="131">
        <v>3500</v>
      </c>
    </row>
    <row r="23" spans="1:7">
      <c r="C23" s="110"/>
    </row>
    <row r="25" spans="1:7">
      <c r="A25" s="158"/>
      <c r="B25" s="158"/>
    </row>
    <row r="27" spans="1:7">
      <c r="B27" s="140"/>
    </row>
    <row r="28" spans="1:7">
      <c r="A28" s="158"/>
      <c r="B28" s="158"/>
      <c r="C28" s="140"/>
    </row>
    <row r="33" spans="1:6" ht="13.5" thickBot="1">
      <c r="F33" s="137">
        <f>SUM(F20:F32)</f>
        <v>3500</v>
      </c>
    </row>
    <row r="34" spans="1:6" ht="13.5" thickTop="1"/>
    <row r="35" spans="1:6" ht="20.100000000000001" customHeight="1">
      <c r="A35" s="138" t="s">
        <v>1133</v>
      </c>
      <c r="B35" s="138" t="s">
        <v>1324</v>
      </c>
      <c r="C35" s="139"/>
      <c r="D35" s="139"/>
      <c r="E35" s="139"/>
      <c r="F35" s="139"/>
    </row>
    <row r="36" spans="1:6">
      <c r="A36" s="140" t="s">
        <v>11</v>
      </c>
    </row>
    <row r="37" spans="1:6">
      <c r="A37" s="131" t="s">
        <v>10</v>
      </c>
    </row>
    <row r="39" spans="1:6" ht="25.5">
      <c r="A39" s="147"/>
      <c r="D39" s="265" t="s">
        <v>2894</v>
      </c>
      <c r="E39" s="266"/>
      <c r="F39" s="267"/>
    </row>
    <row r="40" spans="1:6">
      <c r="C40" s="141"/>
    </row>
    <row r="41" spans="1:6">
      <c r="A41" s="142"/>
      <c r="B41" s="142"/>
    </row>
    <row r="43" spans="1:6">
      <c r="A43" s="143" t="s">
        <v>8</v>
      </c>
      <c r="D43" s="143" t="s">
        <v>7</v>
      </c>
      <c r="F43" s="144"/>
    </row>
    <row r="47" spans="1:6">
      <c r="A47" s="142"/>
      <c r="B47" s="142"/>
      <c r="D47" s="142"/>
      <c r="E47" s="142"/>
      <c r="F47" s="142"/>
    </row>
    <row r="48" spans="1:6" s="147" customFormat="1" ht="17.100000000000001" customHeight="1">
      <c r="A48" s="146" t="s">
        <v>4</v>
      </c>
      <c r="B48" s="146"/>
      <c r="D48" s="147" t="s">
        <v>3</v>
      </c>
    </row>
    <row r="49" spans="1:4">
      <c r="D49" s="131" t="s">
        <v>2</v>
      </c>
    </row>
    <row r="50" spans="1:4">
      <c r="A50" s="145" t="s">
        <v>2948</v>
      </c>
    </row>
    <row r="51" spans="1:4">
      <c r="D51" s="110" t="s">
        <v>1</v>
      </c>
    </row>
    <row r="52" spans="1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Sheet275">
    <pageSetUpPr fitToPage="1"/>
  </sheetPr>
  <dimension ref="A1:G52"/>
  <sheetViews>
    <sheetView topLeftCell="A7" workbookViewId="0">
      <selection activeCell="G9" sqref="G9:G13"/>
    </sheetView>
  </sheetViews>
  <sheetFormatPr defaultRowHeight="12.75"/>
  <cols>
    <col min="1" max="1" width="15.85546875" style="131" customWidth="1"/>
    <col min="2" max="2" width="11.85546875" style="131" customWidth="1"/>
    <col min="3" max="3" width="21" style="131" customWidth="1"/>
    <col min="4" max="4" width="12.85546875" style="131" customWidth="1"/>
    <col min="5" max="5" width="8.285156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1123</v>
      </c>
      <c r="E9" s="131" t="s">
        <v>2330</v>
      </c>
    </row>
    <row r="10" spans="1:6">
      <c r="A10" s="131" t="s">
        <v>2332</v>
      </c>
      <c r="D10" s="132" t="s">
        <v>1124</v>
      </c>
      <c r="E10" s="132" t="s">
        <v>2329</v>
      </c>
    </row>
    <row r="11" spans="1:6">
      <c r="A11" s="131" t="s">
        <v>2333</v>
      </c>
      <c r="D11" s="132" t="s">
        <v>1125</v>
      </c>
      <c r="E11" s="132" t="s">
        <v>1094</v>
      </c>
    </row>
    <row r="12" spans="1:6">
      <c r="A12" s="131" t="s">
        <v>2005</v>
      </c>
      <c r="D12" s="132" t="s">
        <v>1096</v>
      </c>
      <c r="E12" s="132" t="s">
        <v>2331</v>
      </c>
    </row>
    <row r="13" spans="1:6">
      <c r="A13" s="131" t="s">
        <v>1287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8" spans="1:7">
      <c r="C18" s="110" t="s">
        <v>2334</v>
      </c>
      <c r="G18" s="250"/>
    </row>
    <row r="20" spans="1:7">
      <c r="A20" s="158" t="s">
        <v>11</v>
      </c>
      <c r="B20" s="158"/>
      <c r="C20" s="140" t="s">
        <v>2335</v>
      </c>
      <c r="F20" s="131">
        <v>2000</v>
      </c>
    </row>
    <row r="23" spans="1:7">
      <c r="C23" s="110"/>
    </row>
    <row r="25" spans="1:7">
      <c r="A25" s="158"/>
      <c r="B25" s="158"/>
    </row>
    <row r="27" spans="1:7">
      <c r="B27" s="140"/>
    </row>
    <row r="28" spans="1:7">
      <c r="A28" s="158"/>
      <c r="B28" s="158"/>
      <c r="C28" s="140"/>
    </row>
    <row r="33" spans="1:6" ht="13.5" thickBot="1">
      <c r="F33" s="137">
        <f>SUM(F20:F32)</f>
        <v>2000</v>
      </c>
    </row>
    <row r="34" spans="1:6" ht="13.5" thickTop="1"/>
    <row r="35" spans="1:6" ht="20.100000000000001" customHeight="1">
      <c r="A35" s="138" t="s">
        <v>1133</v>
      </c>
      <c r="B35" s="138" t="s">
        <v>1409</v>
      </c>
      <c r="C35" s="139"/>
      <c r="D35" s="139"/>
      <c r="E35" s="139"/>
      <c r="F35" s="139"/>
    </row>
    <row r="36" spans="1:6">
      <c r="A36" s="140" t="s">
        <v>11</v>
      </c>
    </row>
    <row r="37" spans="1:6">
      <c r="A37" s="131" t="s">
        <v>10</v>
      </c>
    </row>
    <row r="39" spans="1:6" ht="25.5">
      <c r="A39" s="147"/>
      <c r="D39" s="265" t="s">
        <v>2894</v>
      </c>
      <c r="E39" s="266"/>
      <c r="F39" s="267"/>
    </row>
    <row r="40" spans="1:6">
      <c r="C40" s="141"/>
    </row>
    <row r="41" spans="1:6">
      <c r="A41" s="142"/>
      <c r="B41" s="142"/>
    </row>
    <row r="43" spans="1:6">
      <c r="A43" s="143" t="s">
        <v>8</v>
      </c>
      <c r="D43" s="143" t="s">
        <v>7</v>
      </c>
      <c r="F43" s="144"/>
    </row>
    <row r="47" spans="1:6">
      <c r="A47" s="142"/>
      <c r="B47" s="142"/>
      <c r="D47" s="142"/>
      <c r="E47" s="142"/>
      <c r="F47" s="142"/>
    </row>
    <row r="48" spans="1:6" s="147" customFormat="1" ht="17.100000000000001" customHeight="1">
      <c r="A48" s="146" t="s">
        <v>4</v>
      </c>
      <c r="B48" s="146"/>
      <c r="D48" s="147" t="s">
        <v>3</v>
      </c>
    </row>
    <row r="49" spans="1:4">
      <c r="D49" s="131" t="s">
        <v>2</v>
      </c>
    </row>
    <row r="50" spans="1:4">
      <c r="A50" s="145" t="s">
        <v>2948</v>
      </c>
    </row>
    <row r="51" spans="1:4">
      <c r="D51" s="110" t="s">
        <v>1</v>
      </c>
    </row>
    <row r="52" spans="1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Sheet238">
    <pageSetUpPr fitToPage="1"/>
  </sheetPr>
  <dimension ref="A1:G59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8.42578125" style="1" customWidth="1"/>
    <col min="6" max="6" width="13.28515625" style="1" customWidth="1"/>
    <col min="7" max="7" width="9.7109375" style="1" bestFit="1" customWidth="1"/>
    <col min="8" max="8" width="9.140625" style="1"/>
    <col min="9" max="9" width="9.42578125" style="1" bestFit="1" customWidth="1"/>
    <col min="10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2104</v>
      </c>
      <c r="F9" s="111"/>
    </row>
    <row r="10" spans="1:6">
      <c r="A10" s="111" t="s">
        <v>2106</v>
      </c>
      <c r="B10" s="111"/>
      <c r="C10" s="111"/>
      <c r="D10" s="112" t="s">
        <v>1162</v>
      </c>
      <c r="E10" s="112" t="s">
        <v>2105</v>
      </c>
      <c r="F10" s="111"/>
    </row>
    <row r="11" spans="1:6">
      <c r="A11" s="111" t="s">
        <v>2107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2108</v>
      </c>
      <c r="B12" s="111"/>
      <c r="C12" s="111"/>
      <c r="D12" s="112" t="s">
        <v>1135</v>
      </c>
      <c r="E12" s="112" t="s">
        <v>1270</v>
      </c>
      <c r="F12" s="111"/>
    </row>
    <row r="13" spans="1:6">
      <c r="A13" s="111" t="s">
        <v>2109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 t="s">
        <v>2110</v>
      </c>
      <c r="D18" s="111"/>
      <c r="E18" s="111"/>
      <c r="F18" s="111"/>
    </row>
    <row r="19" spans="1:7">
      <c r="A19" s="116"/>
      <c r="B19" s="116"/>
      <c r="C19" s="120"/>
      <c r="D19" s="111"/>
      <c r="E19" s="111"/>
      <c r="F19" s="111"/>
      <c r="G19" s="111"/>
    </row>
    <row r="20" spans="1:7">
      <c r="A20" s="116"/>
      <c r="B20" s="116" t="s">
        <v>2111</v>
      </c>
      <c r="C20" s="111" t="s">
        <v>2115</v>
      </c>
      <c r="D20" s="111"/>
      <c r="E20" s="111"/>
      <c r="F20" s="111">
        <f>6452118*0.00031457385</f>
        <v>2029.6675999142999</v>
      </c>
      <c r="G20" s="111"/>
    </row>
    <row r="21" spans="1:7">
      <c r="A21" s="116"/>
      <c r="B21" s="120" t="s">
        <v>2114</v>
      </c>
      <c r="C21" s="111" t="s">
        <v>2116</v>
      </c>
      <c r="D21" s="111"/>
      <c r="E21" s="111"/>
      <c r="F21" s="111">
        <f>1142064*0.00031457385</f>
        <v>359.26346942639998</v>
      </c>
      <c r="G21" s="111"/>
    </row>
    <row r="22" spans="1:7">
      <c r="A22" s="116"/>
      <c r="B22" s="116" t="s">
        <v>2113</v>
      </c>
      <c r="C22" s="111" t="s">
        <v>2118</v>
      </c>
      <c r="D22" s="111"/>
      <c r="E22" s="111"/>
      <c r="F22" s="111">
        <f>1040910*0.00031457385</f>
        <v>327.4430662035</v>
      </c>
      <c r="G22" s="111"/>
    </row>
    <row r="23" spans="1:7">
      <c r="A23" s="116"/>
      <c r="B23" s="116" t="s">
        <v>2112</v>
      </c>
      <c r="C23" s="111" t="s">
        <v>2117</v>
      </c>
      <c r="D23" s="111"/>
      <c r="E23" s="111"/>
      <c r="F23" s="111">
        <f>6553272*0.00031457385</f>
        <v>2061.4880031371999</v>
      </c>
      <c r="G23" s="111"/>
    </row>
    <row r="24" spans="1:7">
      <c r="A24" s="116"/>
      <c r="B24" s="120" t="s">
        <v>2119</v>
      </c>
      <c r="C24" s="111" t="s">
        <v>2122</v>
      </c>
      <c r="D24" s="111"/>
      <c r="E24" s="111"/>
      <c r="F24" s="111">
        <f>12921638*0.00031457385</f>
        <v>4064.8094139662999</v>
      </c>
      <c r="G24" s="111"/>
    </row>
    <row r="25" spans="1:7">
      <c r="A25" s="116"/>
      <c r="B25" s="120" t="s">
        <v>2120</v>
      </c>
      <c r="C25" s="111" t="s">
        <v>2123</v>
      </c>
      <c r="D25" s="111"/>
      <c r="E25" s="111"/>
      <c r="F25" s="111">
        <f>17179679*0.00031457385</f>
        <v>5404.2777647941493</v>
      </c>
      <c r="G25" s="111"/>
    </row>
    <row r="26" spans="1:7">
      <c r="A26" s="116"/>
      <c r="B26" s="120" t="s">
        <v>2121</v>
      </c>
      <c r="C26" s="111" t="s">
        <v>2124</v>
      </c>
      <c r="D26" s="111"/>
      <c r="E26" s="111"/>
      <c r="F26" s="111">
        <f>35396846*0.00031457385</f>
        <v>11134.922124077098</v>
      </c>
      <c r="G26" s="111"/>
    </row>
    <row r="27" spans="1:7">
      <c r="A27" s="116"/>
      <c r="B27" s="120"/>
      <c r="C27" s="111" t="s">
        <v>2125</v>
      </c>
      <c r="D27" s="111"/>
      <c r="E27" s="111"/>
      <c r="F27" s="111"/>
      <c r="G27" s="111"/>
    </row>
    <row r="28" spans="1:7">
      <c r="A28" s="116"/>
      <c r="B28" s="111" t="s">
        <v>2126</v>
      </c>
      <c r="C28" s="111" t="s">
        <v>2132</v>
      </c>
      <c r="D28" s="111"/>
      <c r="E28" s="111"/>
      <c r="F28" s="111">
        <f>6075712.998*0.00031457385</f>
        <v>1911.260429275902</v>
      </c>
      <c r="G28" s="111"/>
    </row>
    <row r="29" spans="1:7">
      <c r="A29" s="116"/>
      <c r="B29" s="111"/>
      <c r="C29" s="111" t="s">
        <v>2129</v>
      </c>
      <c r="D29" s="111"/>
      <c r="E29" s="111"/>
      <c r="G29" s="111"/>
    </row>
    <row r="30" spans="1:7">
      <c r="A30" s="116"/>
      <c r="B30" s="120" t="s">
        <v>2127</v>
      </c>
      <c r="C30" s="111" t="s">
        <v>2130</v>
      </c>
      <c r="D30" s="111"/>
      <c r="E30" s="111"/>
      <c r="F30" s="111">
        <f>6231500*0.00031457385</f>
        <v>1960.2669462749998</v>
      </c>
      <c r="G30" s="111"/>
    </row>
    <row r="31" spans="1:7">
      <c r="A31" s="116"/>
      <c r="B31" s="120" t="s">
        <v>2128</v>
      </c>
      <c r="C31" s="111" t="s">
        <v>2131</v>
      </c>
      <c r="D31" s="111"/>
      <c r="E31" s="111"/>
      <c r="F31" s="111">
        <f>27928450*0.00031457385</f>
        <v>8785.5600410324987</v>
      </c>
      <c r="G31" s="111"/>
    </row>
    <row r="32" spans="1:7">
      <c r="A32" s="116"/>
      <c r="B32" s="120"/>
      <c r="C32" s="167" t="s">
        <v>2134</v>
      </c>
      <c r="D32" s="111"/>
      <c r="E32" s="111"/>
      <c r="G32" s="111"/>
    </row>
    <row r="33" spans="1:7" ht="13.5" thickBot="1">
      <c r="A33" s="116"/>
      <c r="B33" s="120"/>
      <c r="C33" s="167"/>
      <c r="D33" s="111"/>
      <c r="E33" s="111"/>
      <c r="F33" s="117">
        <f>SUM(F20:F32)</f>
        <v>38038.958858102342</v>
      </c>
      <c r="G33" s="111"/>
    </row>
    <row r="34" spans="1:7" ht="13.5" thickTop="1">
      <c r="A34" s="116"/>
      <c r="B34" s="120"/>
      <c r="C34" s="111" t="s">
        <v>2135</v>
      </c>
      <c r="F34" s="111">
        <v>1865.3611418976579</v>
      </c>
      <c r="G34" s="111"/>
    </row>
    <row r="35" spans="1:7">
      <c r="A35" s="116"/>
      <c r="B35" s="120"/>
      <c r="G35" s="111"/>
    </row>
    <row r="36" spans="1:7">
      <c r="A36" s="116"/>
      <c r="B36" s="120"/>
      <c r="C36" s="111" t="s">
        <v>1697</v>
      </c>
      <c r="D36" s="111"/>
      <c r="E36" s="111"/>
      <c r="F36" s="111">
        <v>1</v>
      </c>
      <c r="G36" s="111"/>
    </row>
    <row r="37" spans="1:7">
      <c r="A37" s="111"/>
      <c r="B37" s="111"/>
      <c r="D37" s="111"/>
      <c r="E37" s="111"/>
      <c r="G37" s="111"/>
    </row>
    <row r="38" spans="1:7" ht="13.5" thickBot="1">
      <c r="A38" s="111"/>
      <c r="B38" s="111"/>
      <c r="C38" s="111"/>
      <c r="D38" s="111"/>
      <c r="E38" s="111"/>
      <c r="F38" s="117">
        <f>SUM(F19:F36)</f>
        <v>77944.278858102334</v>
      </c>
      <c r="G38" s="111"/>
    </row>
    <row r="39" spans="1:7" ht="26.25" thickTop="1">
      <c r="A39" s="126"/>
      <c r="B39" s="111"/>
      <c r="C39" s="111"/>
      <c r="D39" s="265" t="s">
        <v>2894</v>
      </c>
      <c r="E39" s="266"/>
      <c r="F39" s="267"/>
      <c r="G39" s="111"/>
    </row>
    <row r="40" spans="1:7" ht="20.100000000000001" customHeight="1">
      <c r="A40" s="118" t="s">
        <v>1133</v>
      </c>
      <c r="B40" s="118" t="s">
        <v>2133</v>
      </c>
      <c r="C40" s="119"/>
      <c r="D40" s="119"/>
      <c r="E40" s="119"/>
      <c r="F40" s="119"/>
      <c r="G40" s="111"/>
    </row>
    <row r="41" spans="1:7">
      <c r="A41" s="120" t="s">
        <v>11</v>
      </c>
      <c r="B41" s="111"/>
      <c r="C41" s="111"/>
      <c r="D41" s="111"/>
      <c r="E41" s="111"/>
      <c r="F41" s="111"/>
    </row>
    <row r="42" spans="1:7">
      <c r="A42" s="111" t="s">
        <v>10</v>
      </c>
      <c r="B42" s="111"/>
      <c r="C42" s="111"/>
      <c r="D42" s="111"/>
      <c r="E42" s="111"/>
      <c r="F42" s="111"/>
    </row>
    <row r="43" spans="1:7">
      <c r="A43" s="111"/>
      <c r="B43" s="111"/>
      <c r="C43" s="111"/>
      <c r="D43" s="111"/>
      <c r="E43" s="111"/>
      <c r="F43" s="111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21"/>
      <c r="D45" s="111"/>
      <c r="E45" s="111"/>
      <c r="F45" s="111"/>
    </row>
    <row r="46" spans="1:7">
      <c r="A46" s="122"/>
      <c r="B46" s="122"/>
      <c r="C46" s="111"/>
      <c r="D46" s="111"/>
      <c r="E46" s="111"/>
      <c r="F46" s="111"/>
    </row>
    <row r="47" spans="1:7">
      <c r="B47" s="111"/>
      <c r="C47" s="111"/>
      <c r="D47" s="111"/>
      <c r="E47" s="111"/>
      <c r="F47" s="111"/>
    </row>
    <row r="48" spans="1:7">
      <c r="A48" s="123" t="s">
        <v>8</v>
      </c>
      <c r="C48" s="111"/>
      <c r="D48" s="123" t="s">
        <v>7</v>
      </c>
      <c r="E48" s="111"/>
      <c r="F48" s="124"/>
    </row>
    <row r="49" spans="1:6">
      <c r="A49" s="111"/>
      <c r="B49" s="111"/>
      <c r="C49" s="111"/>
      <c r="D49" s="111"/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111"/>
      <c r="E51" s="111"/>
      <c r="F51" s="111"/>
    </row>
    <row r="52" spans="1:6">
      <c r="A52" s="122"/>
      <c r="B52" s="122"/>
      <c r="C52" s="111"/>
      <c r="D52" s="122"/>
      <c r="E52" s="122"/>
      <c r="F52" s="122"/>
    </row>
    <row r="53" spans="1:6" s="3" customFormat="1" ht="17.100000000000001" customHeight="1">
      <c r="A53" s="125" t="s">
        <v>4</v>
      </c>
      <c r="B53" s="125"/>
      <c r="C53" s="126"/>
      <c r="D53" s="126" t="s">
        <v>3</v>
      </c>
      <c r="E53" s="126"/>
      <c r="F53" s="126"/>
    </row>
    <row r="54" spans="1:6">
      <c r="A54" s="111"/>
      <c r="B54" s="111"/>
      <c r="C54" s="111"/>
      <c r="D54" s="111" t="s">
        <v>2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2" t="s">
        <v>1</v>
      </c>
      <c r="E56" s="111"/>
      <c r="F56" s="111"/>
    </row>
    <row r="57" spans="1:6">
      <c r="A57" s="111"/>
      <c r="B57" s="111"/>
      <c r="C57" s="111"/>
      <c r="D57" s="2" t="s">
        <v>0</v>
      </c>
      <c r="E57" s="111"/>
      <c r="F57" s="111"/>
    </row>
    <row r="58" spans="1:6">
      <c r="A58" s="111"/>
      <c r="B58" s="111"/>
      <c r="C58" s="111"/>
      <c r="D58" s="111"/>
      <c r="E58" s="111"/>
      <c r="F58" s="111"/>
    </row>
    <row r="59" spans="1:6">
      <c r="A59" s="111"/>
      <c r="B59" s="111"/>
      <c r="C59" s="111"/>
      <c r="D59" s="111"/>
      <c r="E59" s="111"/>
      <c r="F59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Sheet239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4295</v>
      </c>
      <c r="F9" s="111"/>
    </row>
    <row r="10" spans="1:6">
      <c r="A10" s="111" t="s">
        <v>2038</v>
      </c>
      <c r="B10" s="111"/>
      <c r="C10" s="111"/>
      <c r="D10" s="112" t="s">
        <v>1162</v>
      </c>
      <c r="E10" s="112" t="s">
        <v>4294</v>
      </c>
      <c r="F10" s="111"/>
    </row>
    <row r="11" spans="1:6">
      <c r="A11" s="111" t="s">
        <v>2039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1657</v>
      </c>
      <c r="B12" s="111"/>
      <c r="C12" s="111"/>
      <c r="D12" s="112" t="s">
        <v>1135</v>
      </c>
      <c r="E12" s="112" t="s">
        <v>4296</v>
      </c>
      <c r="F12" s="111"/>
    </row>
    <row r="13" spans="1:6">
      <c r="A13" s="111" t="s">
        <v>2040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C18" s="2" t="s">
        <v>3650</v>
      </c>
      <c r="D18" s="111"/>
      <c r="E18" s="111"/>
      <c r="F18" s="111"/>
    </row>
    <row r="19" spans="1:6">
      <c r="A19" s="116"/>
      <c r="B19" s="116"/>
      <c r="C19" s="2"/>
      <c r="D19" s="111"/>
      <c r="E19" s="111"/>
      <c r="F19" s="111"/>
    </row>
    <row r="20" spans="1:6">
      <c r="A20" s="116" t="s">
        <v>4297</v>
      </c>
      <c r="B20" s="116" t="s">
        <v>4298</v>
      </c>
      <c r="C20" s="111" t="s">
        <v>4299</v>
      </c>
      <c r="D20" s="111"/>
      <c r="E20" s="111"/>
      <c r="F20" s="111">
        <v>2000</v>
      </c>
    </row>
    <row r="21" spans="1:6">
      <c r="A21" s="116"/>
      <c r="B21" s="116"/>
      <c r="C21" s="111"/>
      <c r="D21" s="111"/>
      <c r="E21" s="111"/>
      <c r="F21" s="111"/>
    </row>
    <row r="22" spans="1:6">
      <c r="A22" s="116"/>
      <c r="B22" s="116"/>
      <c r="C22" s="111"/>
      <c r="D22" s="111"/>
      <c r="E22" s="111"/>
      <c r="F22" s="111"/>
    </row>
    <row r="23" spans="1:6">
      <c r="A23" s="111"/>
      <c r="B23" s="111"/>
      <c r="C23" s="111"/>
      <c r="D23" s="111"/>
      <c r="E23" s="111"/>
      <c r="F23" s="111"/>
    </row>
    <row r="24" spans="1:6">
      <c r="A24" s="111"/>
      <c r="B24" s="111"/>
      <c r="C24" s="111"/>
      <c r="D24" s="111"/>
      <c r="E24" s="111"/>
      <c r="F24" s="111"/>
    </row>
    <row r="25" spans="1:6">
      <c r="A25" s="111"/>
      <c r="B25" s="111"/>
      <c r="C25" s="111"/>
      <c r="D25" s="111"/>
      <c r="E25" s="111"/>
      <c r="F25" s="111"/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SUM(F19:F32)</f>
        <v>2000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Thousand and NO/100 -----------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 ht="25.5">
      <c r="A37" s="111" t="s">
        <v>10</v>
      </c>
      <c r="B37" s="111"/>
      <c r="C37" s="111"/>
      <c r="D37" s="265" t="s">
        <v>2894</v>
      </c>
      <c r="E37" s="266"/>
      <c r="F37" s="267"/>
    </row>
    <row r="38" spans="1:6">
      <c r="A38" s="111"/>
      <c r="B38" s="111"/>
      <c r="C38" s="111"/>
      <c r="D38" s="111"/>
      <c r="E38" s="111"/>
      <c r="F38" s="111"/>
    </row>
    <row r="39" spans="1:6">
      <c r="A39" s="126"/>
      <c r="B39" s="111"/>
      <c r="C39" s="111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51" t="s">
        <v>2948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/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14273-4875-45B2-98BF-C59F882A4394}">
  <sheetPr codeName="Sheet562"/>
  <dimension ref="A1:H55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140625" style="86" customWidth="1"/>
    <col min="2" max="2" width="13.42578125" style="86" customWidth="1"/>
    <col min="3" max="3" width="1.140625" style="86" customWidth="1"/>
    <col min="4" max="4" width="23" style="86" customWidth="1"/>
    <col min="5" max="5" width="2" style="86" customWidth="1"/>
    <col min="6" max="6" width="13.85546875" style="86" customWidth="1"/>
    <col min="7" max="7" width="9" style="86" customWidth="1"/>
    <col min="8" max="8" width="12.85546875" style="86" customWidth="1"/>
    <col min="9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1481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B8" s="131"/>
      <c r="C8" s="131"/>
      <c r="D8" s="131"/>
      <c r="E8" s="131"/>
      <c r="F8" s="87" t="s">
        <v>23</v>
      </c>
      <c r="G8" s="131"/>
      <c r="H8" s="131"/>
    </row>
    <row r="9" spans="1:8">
      <c r="A9" s="131"/>
      <c r="B9" s="131"/>
      <c r="C9" s="131"/>
      <c r="D9" s="131"/>
      <c r="E9" s="131"/>
      <c r="F9" s="132" t="s">
        <v>1127</v>
      </c>
      <c r="G9" s="489" t="s">
        <v>6726</v>
      </c>
      <c r="H9" s="131"/>
    </row>
    <row r="10" spans="1:8">
      <c r="A10" s="131" t="s">
        <v>5869</v>
      </c>
      <c r="B10" s="131"/>
      <c r="C10" s="131"/>
      <c r="D10" s="131"/>
      <c r="E10" s="131"/>
      <c r="F10" s="132" t="s">
        <v>1162</v>
      </c>
      <c r="G10" s="489" t="s">
        <v>6724</v>
      </c>
      <c r="H10" s="131"/>
    </row>
    <row r="11" spans="1:8">
      <c r="A11" s="131" t="s">
        <v>5870</v>
      </c>
      <c r="B11" s="131"/>
      <c r="C11" s="131"/>
      <c r="D11" s="131"/>
      <c r="E11" s="131"/>
      <c r="F11" s="132" t="s">
        <v>1163</v>
      </c>
      <c r="G11" s="489" t="s">
        <v>1094</v>
      </c>
      <c r="H11" s="131"/>
    </row>
    <row r="12" spans="1:8">
      <c r="A12" s="131" t="s">
        <v>5871</v>
      </c>
      <c r="B12" s="131"/>
      <c r="C12" s="131"/>
      <c r="D12" s="131"/>
      <c r="E12" s="131"/>
      <c r="F12" s="132" t="s">
        <v>1135</v>
      </c>
      <c r="G12" s="486" t="s">
        <v>6727</v>
      </c>
      <c r="H12" s="131"/>
    </row>
    <row r="13" spans="1:8">
      <c r="A13" s="131" t="s">
        <v>1154</v>
      </c>
      <c r="B13" s="131"/>
      <c r="C13" s="131"/>
      <c r="D13" s="131"/>
      <c r="E13" s="131"/>
      <c r="F13" s="131"/>
      <c r="G13" s="483" t="s">
        <v>5914</v>
      </c>
      <c r="H13" s="131"/>
    </row>
    <row r="14" spans="1:8">
      <c r="A14" s="131"/>
      <c r="B14" s="131"/>
      <c r="C14" s="131"/>
      <c r="D14" s="131"/>
      <c r="E14" s="131"/>
      <c r="F14" s="131"/>
      <c r="G14" s="131"/>
      <c r="H14" s="131"/>
    </row>
    <row r="15" spans="1:8">
      <c r="A15" s="131"/>
      <c r="B15" s="131"/>
      <c r="C15" s="131"/>
      <c r="D15" s="131"/>
      <c r="E15" s="131"/>
      <c r="F15" s="131"/>
      <c r="G15" s="131"/>
      <c r="H15" s="131"/>
    </row>
    <row r="16" spans="1:8" s="95" customFormat="1" ht="20.100000000000001" customHeight="1">
      <c r="A16" s="90" t="s">
        <v>1122</v>
      </c>
      <c r="B16" s="90" t="s">
        <v>1132</v>
      </c>
      <c r="C16" s="90"/>
      <c r="D16" s="92" t="s">
        <v>14</v>
      </c>
      <c r="E16" s="92"/>
      <c r="F16" s="90"/>
      <c r="G16" s="93"/>
      <c r="H16" s="94" t="s">
        <v>13</v>
      </c>
    </row>
    <row r="17" spans="1:8">
      <c r="A17" s="131"/>
      <c r="B17" s="131"/>
      <c r="C17" s="131"/>
      <c r="D17" s="131"/>
      <c r="E17" s="131"/>
      <c r="F17" s="131"/>
      <c r="G17" s="131"/>
      <c r="H17" s="131"/>
    </row>
    <row r="18" spans="1:8">
      <c r="A18" s="162"/>
      <c r="B18" s="131"/>
      <c r="C18" s="131"/>
      <c r="D18" s="110" t="s">
        <v>5872</v>
      </c>
      <c r="E18" s="110"/>
      <c r="F18" s="131"/>
      <c r="G18" s="131"/>
      <c r="H18" s="131"/>
    </row>
    <row r="19" spans="1:8">
      <c r="A19" s="131"/>
      <c r="B19" s="131"/>
      <c r="C19" s="131"/>
      <c r="D19" s="110"/>
      <c r="E19" s="110"/>
      <c r="F19" s="131"/>
      <c r="G19" s="131"/>
      <c r="H19" s="131"/>
    </row>
    <row r="20" spans="1:8">
      <c r="A20" s="165" t="s">
        <v>6728</v>
      </c>
      <c r="B20" s="492" t="s">
        <v>6729</v>
      </c>
      <c r="C20" s="131"/>
      <c r="D20" s="140" t="s">
        <v>6730</v>
      </c>
      <c r="E20" s="140"/>
      <c r="F20" s="131"/>
      <c r="G20" s="131"/>
      <c r="H20" s="131">
        <v>120</v>
      </c>
    </row>
    <row r="21" spans="1:8">
      <c r="A21" s="246"/>
      <c r="B21" s="131"/>
      <c r="C21" s="131"/>
      <c r="D21" s="131" t="s">
        <v>6731</v>
      </c>
      <c r="E21" s="131"/>
      <c r="H21" s="131"/>
    </row>
    <row r="22" spans="1:8">
      <c r="A22" s="162"/>
      <c r="B22" s="245"/>
      <c r="C22" s="245"/>
      <c r="D22" s="131" t="s">
        <v>1034</v>
      </c>
      <c r="E22" s="131"/>
      <c r="F22" s="131"/>
      <c r="G22" s="131"/>
      <c r="H22" s="131"/>
    </row>
    <row r="23" spans="1:8">
      <c r="D23" s="131" t="s">
        <v>6732</v>
      </c>
      <c r="H23" s="131">
        <v>350</v>
      </c>
    </row>
    <row r="24" spans="1:8">
      <c r="A24" s="244"/>
      <c r="B24" s="131"/>
      <c r="C24" s="131"/>
      <c r="D24" s="131"/>
      <c r="E24" s="131"/>
      <c r="H24" s="131"/>
    </row>
    <row r="25" spans="1:8">
      <c r="A25" s="246"/>
      <c r="B25" s="131"/>
      <c r="C25" s="131"/>
      <c r="D25" s="131" t="s">
        <v>6733</v>
      </c>
      <c r="E25" s="131"/>
      <c r="H25" s="131">
        <v>320</v>
      </c>
    </row>
    <row r="26" spans="1:8">
      <c r="A26" s="162"/>
      <c r="D26" s="488" t="s">
        <v>6734</v>
      </c>
    </row>
    <row r="27" spans="1:8">
      <c r="B27" s="131"/>
      <c r="C27" s="131"/>
      <c r="D27" s="131"/>
      <c r="E27" s="131"/>
      <c r="H27" s="131"/>
    </row>
    <row r="28" spans="1:8">
      <c r="A28" s="244"/>
      <c r="B28" s="131"/>
      <c r="C28" s="131"/>
      <c r="D28" s="110"/>
      <c r="E28" s="110"/>
      <c r="H28" s="131"/>
    </row>
    <row r="29" spans="1:8">
      <c r="A29" s="246"/>
      <c r="B29" s="131"/>
      <c r="C29" s="131"/>
      <c r="D29" s="131"/>
      <c r="E29" s="131"/>
      <c r="H29" s="131"/>
    </row>
    <row r="30" spans="1:8">
      <c r="A30" s="244"/>
      <c r="B30" s="131"/>
      <c r="C30" s="131"/>
      <c r="D30" s="131"/>
      <c r="E30" s="131"/>
      <c r="H30" s="131"/>
    </row>
    <row r="31" spans="1:8">
      <c r="A31" s="162"/>
      <c r="B31" s="131"/>
      <c r="C31" s="131"/>
      <c r="D31" s="131"/>
      <c r="E31" s="131"/>
      <c r="H31" s="131"/>
    </row>
    <row r="32" spans="1:8">
      <c r="A32" s="246"/>
      <c r="B32" s="131"/>
      <c r="C32" s="131"/>
      <c r="D32" s="131"/>
      <c r="E32" s="131"/>
      <c r="H32" s="131"/>
    </row>
    <row r="33" spans="1:8">
      <c r="A33" s="162"/>
      <c r="B33" s="131"/>
      <c r="C33" s="131"/>
      <c r="D33" s="131"/>
      <c r="E33" s="131"/>
      <c r="H33" s="131"/>
    </row>
    <row r="34" spans="1:8" ht="13.5" thickBot="1">
      <c r="A34" s="131"/>
      <c r="B34" s="131"/>
      <c r="C34" s="131"/>
      <c r="D34" s="131"/>
      <c r="E34" s="131"/>
      <c r="F34" s="131"/>
      <c r="G34" s="131"/>
      <c r="H34" s="457">
        <f>SUM(H19:H33)</f>
        <v>790</v>
      </c>
    </row>
    <row r="35" spans="1:8" ht="13.5" thickTop="1">
      <c r="A35" s="147"/>
      <c r="B35" s="131"/>
      <c r="C35" s="131"/>
      <c r="D35" s="131"/>
      <c r="E35" s="131"/>
    </row>
    <row r="36" spans="1:8" ht="20.100000000000001" customHeight="1">
      <c r="A36" s="138" t="s">
        <v>1133</v>
      </c>
      <c r="B36" s="204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Seven Hundred Ninety and NO/100 -----------</v>
      </c>
      <c r="C36" s="204"/>
      <c r="D36" s="139"/>
      <c r="E36" s="139"/>
      <c r="F36" s="139"/>
      <c r="G36" s="139"/>
      <c r="H36" s="139"/>
    </row>
    <row r="37" spans="1:8">
      <c r="A37" s="140" t="s">
        <v>11</v>
      </c>
      <c r="B37" s="131"/>
      <c r="C37" s="131"/>
      <c r="D37" s="131"/>
      <c r="E37" s="131"/>
      <c r="F37" s="131"/>
      <c r="G37" s="131"/>
      <c r="H37" s="131"/>
    </row>
    <row r="38" spans="1:8" ht="25.5">
      <c r="A38" s="147" t="s">
        <v>10</v>
      </c>
      <c r="B38" s="131"/>
      <c r="C38" s="131"/>
      <c r="D38" s="131"/>
      <c r="E38" s="131"/>
      <c r="F38" s="283" t="s">
        <v>2894</v>
      </c>
      <c r="G38" s="284"/>
      <c r="H38" s="285"/>
    </row>
    <row r="39" spans="1:8">
      <c r="A39" s="131"/>
      <c r="B39" s="131"/>
      <c r="C39" s="131"/>
      <c r="D39" s="131"/>
      <c r="E39" s="131"/>
      <c r="F39" s="131"/>
      <c r="G39" s="131"/>
      <c r="H39" s="131"/>
    </row>
    <row r="40" spans="1:8">
      <c r="A40" s="145"/>
      <c r="B40" s="131"/>
      <c r="C40" s="131"/>
      <c r="D40" s="131"/>
      <c r="E40" s="131"/>
      <c r="F40" s="131"/>
      <c r="G40" s="131"/>
      <c r="H40" s="131"/>
    </row>
    <row r="41" spans="1:8">
      <c r="A41" s="131"/>
      <c r="B41" s="131"/>
      <c r="C41" s="131"/>
      <c r="D41" s="141"/>
      <c r="E41" s="141"/>
      <c r="F41" s="131"/>
      <c r="G41" s="131"/>
      <c r="H41" s="131"/>
    </row>
    <row r="42" spans="1:8">
      <c r="A42" s="142"/>
      <c r="B42" s="142"/>
      <c r="C42" s="131"/>
      <c r="D42" s="131"/>
      <c r="E42" s="131"/>
      <c r="F42" s="131"/>
      <c r="G42" s="131"/>
      <c r="H42" s="131"/>
    </row>
    <row r="43" spans="1:8">
      <c r="B43" s="131"/>
      <c r="C43" s="131"/>
      <c r="D43" s="131"/>
      <c r="E43" s="131"/>
      <c r="F43" s="131"/>
      <c r="G43" s="131"/>
      <c r="H43" s="131"/>
    </row>
    <row r="44" spans="1:8">
      <c r="A44" s="143" t="s">
        <v>8</v>
      </c>
      <c r="D44" s="143" t="s">
        <v>8</v>
      </c>
      <c r="E44" s="131"/>
      <c r="F44" s="143" t="s">
        <v>7</v>
      </c>
      <c r="G44" s="131"/>
      <c r="H44" s="144"/>
    </row>
    <row r="45" spans="1:8">
      <c r="A45" s="131"/>
      <c r="B45" s="131"/>
      <c r="C45" s="131"/>
      <c r="D45" s="131"/>
      <c r="E45" s="131"/>
      <c r="F45" s="131"/>
      <c r="G45" s="131"/>
      <c r="H45" s="131"/>
    </row>
    <row r="46" spans="1:8">
      <c r="A46" s="131"/>
      <c r="B46" s="131"/>
      <c r="C46" s="131"/>
      <c r="D46" s="131"/>
      <c r="E46" s="131"/>
      <c r="F46" s="131"/>
      <c r="G46" s="131"/>
      <c r="H46" s="131"/>
    </row>
    <row r="47" spans="1:8">
      <c r="A47" s="131"/>
      <c r="B47" s="131"/>
      <c r="C47" s="131"/>
      <c r="D47" s="131"/>
      <c r="E47" s="131"/>
      <c r="F47" s="131"/>
      <c r="G47" s="131"/>
      <c r="H47" s="131"/>
    </row>
    <row r="48" spans="1:8">
      <c r="A48" s="142"/>
      <c r="B48" s="142"/>
      <c r="C48" s="131"/>
      <c r="D48" s="142"/>
      <c r="E48" s="131"/>
      <c r="F48" s="142"/>
      <c r="G48" s="142"/>
      <c r="H48" s="142"/>
    </row>
    <row r="49" spans="1:8" s="109" customFormat="1" ht="17.100000000000001" customHeight="1">
      <c r="A49" s="145" t="s">
        <v>2948</v>
      </c>
      <c r="B49" s="146"/>
      <c r="C49" s="146"/>
      <c r="D49" s="145" t="s">
        <v>103</v>
      </c>
      <c r="E49" s="147"/>
      <c r="F49" s="147" t="s">
        <v>3</v>
      </c>
      <c r="G49" s="147"/>
      <c r="H49" s="147"/>
    </row>
    <row r="50" spans="1:8">
      <c r="A50" s="131"/>
      <c r="B50" s="131"/>
      <c r="C50" s="131"/>
      <c r="D50" s="131"/>
      <c r="E50" s="131"/>
      <c r="F50" s="131" t="s">
        <v>2</v>
      </c>
      <c r="G50" s="131"/>
      <c r="H50" s="131"/>
    </row>
    <row r="51" spans="1:8">
      <c r="A51" s="131"/>
      <c r="B51" s="131"/>
      <c r="C51" s="131"/>
      <c r="D51" s="131"/>
      <c r="E51" s="131"/>
      <c r="F51" s="131"/>
      <c r="G51" s="131"/>
      <c r="H51" s="131"/>
    </row>
    <row r="52" spans="1:8">
      <c r="A52" s="131"/>
      <c r="B52" s="131"/>
      <c r="C52" s="131"/>
      <c r="D52" s="131"/>
      <c r="E52" s="131"/>
      <c r="F52" s="110" t="s">
        <v>1</v>
      </c>
      <c r="G52" s="131"/>
      <c r="H52" s="131"/>
    </row>
    <row r="53" spans="1:8">
      <c r="A53" s="131"/>
      <c r="B53" s="131"/>
      <c r="C53" s="131"/>
      <c r="D53" s="131"/>
      <c r="E53" s="131"/>
      <c r="F53" s="110" t="s">
        <v>0</v>
      </c>
      <c r="G53" s="131"/>
      <c r="H53" s="131"/>
    </row>
    <row r="54" spans="1:8">
      <c r="A54" s="131"/>
      <c r="B54" s="131"/>
      <c r="C54" s="131"/>
      <c r="D54" s="131"/>
      <c r="E54" s="131"/>
      <c r="F54" s="131"/>
      <c r="G54" s="131"/>
      <c r="H54" s="131"/>
    </row>
    <row r="55" spans="1:8">
      <c r="A55" s="131"/>
      <c r="B55" s="131"/>
      <c r="C55" s="131"/>
      <c r="D55" s="131"/>
      <c r="E55" s="131"/>
      <c r="F55" s="131"/>
      <c r="G55" s="131"/>
      <c r="H55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Sheet232">
    <pageSetUpPr fitToPage="1"/>
  </sheetPr>
  <dimension ref="A1:F50"/>
  <sheetViews>
    <sheetView view="pageBreakPreview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3" width="9.140625" style="111"/>
    <col min="14" max="14" width="9.7109375" style="111" bestFit="1" customWidth="1"/>
    <col min="15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31" t="s">
        <v>2518</v>
      </c>
    </row>
    <row r="10" spans="1:6">
      <c r="A10" s="111" t="s">
        <v>2002</v>
      </c>
      <c r="D10" s="112" t="s">
        <v>1162</v>
      </c>
      <c r="E10" s="143" t="s">
        <v>2536</v>
      </c>
    </row>
    <row r="11" spans="1:6">
      <c r="A11" s="111" t="s">
        <v>2003</v>
      </c>
      <c r="D11" s="112" t="s">
        <v>1163</v>
      </c>
      <c r="E11" s="132" t="s">
        <v>1094</v>
      </c>
    </row>
    <row r="12" spans="1:6">
      <c r="A12" s="111" t="s">
        <v>2004</v>
      </c>
      <c r="D12" s="112" t="s">
        <v>1135</v>
      </c>
      <c r="E12" s="132" t="s">
        <v>2537</v>
      </c>
    </row>
    <row r="13" spans="1:6">
      <c r="A13" s="111" t="s">
        <v>2005</v>
      </c>
    </row>
    <row r="14" spans="1:6">
      <c r="A14" s="111" t="s">
        <v>2006</v>
      </c>
    </row>
    <row r="15" spans="1:6">
      <c r="A15" s="111" t="s">
        <v>2007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2426</v>
      </c>
    </row>
    <row r="19" spans="1:6">
      <c r="A19" s="161"/>
      <c r="B19" s="116"/>
    </row>
    <row r="20" spans="1:6">
      <c r="A20" s="116"/>
      <c r="B20" s="121" t="s">
        <v>1920</v>
      </c>
      <c r="C20" s="111" t="s">
        <v>2520</v>
      </c>
      <c r="F20" s="111">
        <v>25750</v>
      </c>
    </row>
    <row r="21" spans="1:6">
      <c r="B21" s="121" t="s">
        <v>2519</v>
      </c>
      <c r="C21" s="111" t="s">
        <v>2521</v>
      </c>
    </row>
    <row r="22" spans="1:6">
      <c r="C22" s="111" t="s">
        <v>2514</v>
      </c>
    </row>
    <row r="24" spans="1:6">
      <c r="C24" s="111" t="s">
        <v>2522</v>
      </c>
      <c r="F24" s="111">
        <v>-12375</v>
      </c>
    </row>
    <row r="26" spans="1:6">
      <c r="A26" s="120" t="s">
        <v>11</v>
      </c>
    </row>
    <row r="27" spans="1:6">
      <c r="A27" s="116"/>
      <c r="B27" s="121"/>
    </row>
    <row r="28" spans="1:6">
      <c r="B28" s="120"/>
    </row>
    <row r="29" spans="1:6">
      <c r="B29" s="120"/>
    </row>
    <row r="31" spans="1:6" ht="13.5" thickBot="1">
      <c r="F31" s="127">
        <f>SUM(F19:F30)</f>
        <v>13375</v>
      </c>
    </row>
    <row r="32" spans="1:6" ht="13.5" thickTop="1"/>
    <row r="33" spans="1:6" ht="20.100000000000001" customHeight="1" thickBot="1">
      <c r="A33" s="118" t="s">
        <v>1133</v>
      </c>
      <c r="B33" s="202" t="s">
        <v>2523</v>
      </c>
      <c r="C33" s="119"/>
      <c r="D33" s="119"/>
      <c r="E33" s="119"/>
      <c r="F33" s="117">
        <f>SUM(F20:F32)</f>
        <v>26750</v>
      </c>
    </row>
    <row r="34" spans="1:6" ht="13.5" thickTop="1">
      <c r="A34" s="120"/>
    </row>
    <row r="35" spans="1:6">
      <c r="A35" s="123" t="s">
        <v>10</v>
      </c>
    </row>
    <row r="36" spans="1:6">
      <c r="A36" s="123"/>
    </row>
    <row r="37" spans="1:6">
      <c r="A37" s="123"/>
    </row>
    <row r="38" spans="1:6">
      <c r="A38" s="123"/>
      <c r="C38" s="121"/>
    </row>
    <row r="39" spans="1:6" ht="25.5">
      <c r="A39" s="270"/>
      <c r="B39" s="122"/>
      <c r="D39" s="265" t="s">
        <v>2894</v>
      </c>
      <c r="E39" s="266"/>
      <c r="F39" s="267"/>
    </row>
    <row r="41" spans="1:6">
      <c r="A41" s="123" t="s">
        <v>8</v>
      </c>
      <c r="D41" s="123" t="s">
        <v>7</v>
      </c>
      <c r="F41" s="124"/>
    </row>
    <row r="42" spans="1:6">
      <c r="A42" s="123"/>
    </row>
    <row r="43" spans="1:6">
      <c r="A43" s="123"/>
    </row>
    <row r="44" spans="1:6">
      <c r="A44" s="123"/>
    </row>
    <row r="45" spans="1:6">
      <c r="A45" s="150"/>
      <c r="B45" s="122"/>
      <c r="D45" s="122"/>
      <c r="E45" s="122"/>
      <c r="F45" s="122"/>
    </row>
    <row r="46" spans="1:6" s="126" customFormat="1" ht="17.100000000000001" customHeight="1">
      <c r="A46" s="151" t="s">
        <v>4</v>
      </c>
      <c r="B46" s="125"/>
      <c r="D46" s="126" t="s">
        <v>3</v>
      </c>
    </row>
    <row r="47" spans="1:6">
      <c r="A47" s="123"/>
      <c r="D47" s="111" t="s">
        <v>2</v>
      </c>
    </row>
    <row r="48" spans="1:6">
      <c r="A48" s="123"/>
    </row>
    <row r="49" spans="1:4">
      <c r="D49" s="2" t="s">
        <v>1</v>
      </c>
    </row>
    <row r="50" spans="1:4">
      <c r="A50" s="151" t="s">
        <v>2948</v>
      </c>
      <c r="D50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Sheet231">
    <pageSetUpPr fitToPage="1"/>
  </sheetPr>
  <dimension ref="A1:H63"/>
  <sheetViews>
    <sheetView workbookViewId="0">
      <selection activeCell="G9" sqref="G9:G13"/>
    </sheetView>
  </sheetViews>
  <sheetFormatPr defaultRowHeight="12.75"/>
  <cols>
    <col min="1" max="1" width="14.7109375" style="86" customWidth="1"/>
    <col min="2" max="2" width="14.42578125" style="86" customWidth="1"/>
    <col min="3" max="3" width="1.42578125" style="86" customWidth="1"/>
    <col min="4" max="4" width="21" style="86" customWidth="1"/>
    <col min="5" max="5" width="1.28515625" style="86" customWidth="1"/>
    <col min="6" max="6" width="13.42578125" style="86" customWidth="1"/>
    <col min="7" max="7" width="10.7109375" style="86" customWidth="1"/>
    <col min="8" max="8" width="13.28515625" style="86" customWidth="1"/>
    <col min="9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B8" s="131"/>
      <c r="C8" s="131"/>
      <c r="D8" s="131"/>
      <c r="E8" s="131"/>
      <c r="F8" s="87" t="s">
        <v>23</v>
      </c>
      <c r="G8" s="131"/>
      <c r="H8" s="131"/>
    </row>
    <row r="9" spans="1:8">
      <c r="A9" s="131"/>
      <c r="B9" s="131"/>
      <c r="C9" s="131"/>
      <c r="D9" s="131"/>
      <c r="E9" s="131"/>
      <c r="F9" s="132" t="s">
        <v>22</v>
      </c>
      <c r="G9" s="111" t="s">
        <v>4337</v>
      </c>
      <c r="H9" s="131"/>
    </row>
    <row r="10" spans="1:8">
      <c r="A10" s="131" t="s">
        <v>1998</v>
      </c>
      <c r="B10" s="131"/>
      <c r="C10" s="131"/>
      <c r="D10" s="131"/>
      <c r="E10" s="131"/>
      <c r="F10" s="132" t="s">
        <v>21</v>
      </c>
      <c r="G10" s="111" t="s">
        <v>4328</v>
      </c>
      <c r="H10" s="131"/>
    </row>
    <row r="11" spans="1:8">
      <c r="A11" s="131" t="s">
        <v>1999</v>
      </c>
      <c r="B11" s="131"/>
      <c r="C11" s="131"/>
      <c r="D11" s="131"/>
      <c r="E11" s="131"/>
      <c r="F11" s="132" t="s">
        <v>19</v>
      </c>
      <c r="G11" s="111" t="s">
        <v>1094</v>
      </c>
      <c r="H11" s="131"/>
    </row>
    <row r="12" spans="1:8">
      <c r="A12" s="131" t="s">
        <v>1496</v>
      </c>
      <c r="B12" s="131"/>
      <c r="C12" s="131"/>
      <c r="D12" s="131"/>
      <c r="E12" s="131"/>
      <c r="F12" s="132" t="s">
        <v>17</v>
      </c>
      <c r="G12" s="120" t="s">
        <v>4338</v>
      </c>
      <c r="H12" s="131"/>
    </row>
    <row r="13" spans="1:8">
      <c r="A13" s="131" t="s">
        <v>2000</v>
      </c>
      <c r="B13" s="131"/>
      <c r="C13" s="131"/>
      <c r="D13" s="131"/>
      <c r="E13" s="131"/>
      <c r="F13" s="131"/>
      <c r="G13" s="131"/>
      <c r="H13" s="131"/>
    </row>
    <row r="14" spans="1:8">
      <c r="A14" s="131" t="s">
        <v>2001</v>
      </c>
      <c r="B14" s="131"/>
      <c r="C14" s="131"/>
      <c r="D14" s="131"/>
      <c r="E14" s="131"/>
      <c r="F14" s="131"/>
      <c r="G14" s="131"/>
      <c r="H14" s="131"/>
    </row>
    <row r="15" spans="1:8">
      <c r="A15" s="131"/>
      <c r="B15" s="131"/>
      <c r="C15" s="131"/>
      <c r="D15" s="131"/>
      <c r="E15" s="131"/>
      <c r="F15" s="131"/>
      <c r="G15" s="131"/>
      <c r="H15" s="131"/>
    </row>
    <row r="16" spans="1:8" s="95" customFormat="1" ht="20.100000000000001" customHeight="1">
      <c r="A16" s="90" t="s">
        <v>1140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7" spans="1:8">
      <c r="A17" s="131"/>
      <c r="B17" s="131"/>
      <c r="C17" s="131"/>
      <c r="D17" s="131"/>
      <c r="E17" s="131"/>
      <c r="F17" s="131"/>
      <c r="G17" s="131"/>
      <c r="H17" s="131"/>
    </row>
    <row r="18" spans="1:8">
      <c r="A18" s="162"/>
      <c r="B18" s="131"/>
      <c r="C18" s="131"/>
      <c r="D18" s="110" t="s">
        <v>3125</v>
      </c>
      <c r="E18" s="110"/>
      <c r="F18" s="131"/>
      <c r="G18" s="131"/>
      <c r="H18" s="131"/>
    </row>
    <row r="19" spans="1:8">
      <c r="A19" s="162"/>
      <c r="B19" s="131"/>
      <c r="C19" s="131"/>
      <c r="D19" s="131"/>
      <c r="E19" s="131"/>
      <c r="F19" s="131"/>
      <c r="G19" s="131"/>
      <c r="H19" s="131"/>
    </row>
    <row r="20" spans="1:8">
      <c r="A20" s="165" t="s">
        <v>4336</v>
      </c>
      <c r="B20" s="141" t="s">
        <v>4339</v>
      </c>
      <c r="C20" s="141"/>
      <c r="D20" s="131" t="s">
        <v>4340</v>
      </c>
      <c r="E20" s="131"/>
      <c r="F20" s="131"/>
      <c r="G20" s="131"/>
      <c r="H20" s="131">
        <f>10000</f>
        <v>10000</v>
      </c>
    </row>
    <row r="21" spans="1:8">
      <c r="A21" s="163"/>
      <c r="B21" s="131"/>
      <c r="C21" s="131"/>
      <c r="D21" s="131" t="s">
        <v>4341</v>
      </c>
      <c r="E21" s="131"/>
      <c r="F21" s="131"/>
      <c r="G21" s="131"/>
      <c r="H21" s="149"/>
    </row>
    <row r="22" spans="1:8">
      <c r="A22" s="162"/>
      <c r="B22" s="131"/>
      <c r="C22" s="131"/>
      <c r="D22" s="131" t="s">
        <v>4342</v>
      </c>
      <c r="E22" s="131"/>
      <c r="F22" s="131"/>
      <c r="G22" s="131"/>
      <c r="H22" s="149"/>
    </row>
    <row r="23" spans="1:8">
      <c r="A23" s="162"/>
      <c r="B23" s="131"/>
      <c r="C23" s="131"/>
      <c r="F23" s="131"/>
      <c r="G23" s="131"/>
      <c r="H23" s="149"/>
    </row>
    <row r="24" spans="1:8">
      <c r="A24" s="162"/>
      <c r="B24" s="140"/>
      <c r="C24" s="140"/>
      <c r="D24" s="131" t="s">
        <v>1814</v>
      </c>
      <c r="E24" s="131"/>
      <c r="F24" s="131"/>
      <c r="G24" s="131"/>
      <c r="H24" s="149">
        <f>H20*6%</f>
        <v>600</v>
      </c>
    </row>
    <row r="25" spans="1:8">
      <c r="A25" s="162"/>
      <c r="B25" s="140"/>
      <c r="C25" s="140"/>
      <c r="D25" s="131"/>
      <c r="E25" s="131"/>
      <c r="F25" s="131"/>
      <c r="G25" s="131"/>
      <c r="H25" s="149"/>
    </row>
    <row r="26" spans="1:8">
      <c r="A26" s="162"/>
      <c r="B26" s="140"/>
      <c r="C26" s="140"/>
      <c r="D26" s="131"/>
      <c r="E26" s="131"/>
      <c r="F26" s="131"/>
      <c r="G26" s="131"/>
      <c r="H26" s="131"/>
    </row>
    <row r="27" spans="1:8">
      <c r="A27" s="162"/>
      <c r="B27" s="131"/>
      <c r="C27" s="131"/>
      <c r="D27" s="131"/>
      <c r="E27" s="131"/>
      <c r="F27" s="131"/>
      <c r="G27" s="131"/>
      <c r="H27" s="131"/>
    </row>
    <row r="28" spans="1:8">
      <c r="A28" s="162"/>
      <c r="B28" s="131"/>
      <c r="C28" s="131"/>
      <c r="D28" s="131"/>
      <c r="E28" s="131"/>
      <c r="F28" s="131"/>
      <c r="G28" s="131"/>
      <c r="H28" s="131"/>
    </row>
    <row r="29" spans="1:8">
      <c r="A29" s="131"/>
      <c r="B29" s="131"/>
      <c r="C29" s="131"/>
      <c r="D29" s="131"/>
      <c r="E29" s="131"/>
      <c r="F29" s="131"/>
      <c r="G29" s="131"/>
      <c r="H29" s="131"/>
    </row>
    <row r="30" spans="1:8">
      <c r="A30" s="131"/>
      <c r="B30" s="131"/>
      <c r="C30" s="131"/>
      <c r="D30" s="131"/>
      <c r="E30" s="131"/>
      <c r="F30" s="131"/>
      <c r="G30" s="131"/>
      <c r="H30" s="131"/>
    </row>
    <row r="31" spans="1:8">
      <c r="A31" s="131"/>
      <c r="B31" s="131"/>
      <c r="C31" s="131"/>
      <c r="D31" s="131"/>
      <c r="E31" s="131"/>
      <c r="F31" s="131"/>
      <c r="G31" s="131"/>
      <c r="H31" s="131"/>
    </row>
    <row r="32" spans="1:8">
      <c r="A32" s="131"/>
      <c r="B32" s="131"/>
      <c r="C32" s="131"/>
      <c r="D32" s="131"/>
      <c r="E32" s="131"/>
      <c r="F32" s="131"/>
      <c r="G32" s="131"/>
    </row>
    <row r="33" spans="1:8" ht="13.5" thickBot="1">
      <c r="A33" s="131"/>
      <c r="B33" s="131"/>
      <c r="C33" s="131"/>
      <c r="D33" s="131"/>
      <c r="E33" s="131"/>
      <c r="F33" s="131"/>
      <c r="G33" s="131"/>
      <c r="H33" s="164">
        <f>SUM(H20:H32)</f>
        <v>10600</v>
      </c>
    </row>
    <row r="34" spans="1:8" ht="13.5" thickTop="1">
      <c r="A34" s="131"/>
      <c r="B34" s="131"/>
      <c r="C34" s="131"/>
      <c r="D34" s="131"/>
      <c r="E34" s="131"/>
      <c r="F34" s="131"/>
      <c r="G34" s="131"/>
      <c r="H34" s="131"/>
    </row>
    <row r="35" spans="1:8" ht="20.100000000000001" customHeight="1">
      <c r="A35" s="138" t="s">
        <v>204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Ten Thousand Six Hundred and NO/100 -----------</v>
      </c>
      <c r="C35" s="202"/>
      <c r="D35" s="139"/>
      <c r="E35" s="139"/>
      <c r="F35" s="139"/>
      <c r="G35" s="139"/>
      <c r="H35" s="139"/>
    </row>
    <row r="36" spans="1:8">
      <c r="A36" s="140" t="s">
        <v>11</v>
      </c>
      <c r="B36" s="131"/>
      <c r="C36" s="131"/>
      <c r="D36" s="131"/>
      <c r="E36" s="131"/>
      <c r="F36" s="131"/>
      <c r="G36" s="131"/>
      <c r="H36" s="131"/>
    </row>
    <row r="37" spans="1:8">
      <c r="A37" s="131" t="s">
        <v>10</v>
      </c>
      <c r="B37" s="131"/>
      <c r="C37" s="131"/>
      <c r="D37" s="131"/>
      <c r="E37" s="131"/>
      <c r="F37" s="131"/>
      <c r="G37" s="131"/>
      <c r="H37" s="131"/>
    </row>
    <row r="38" spans="1:8">
      <c r="A38" s="131"/>
      <c r="B38" s="131"/>
      <c r="C38" s="131"/>
      <c r="D38" s="131"/>
      <c r="E38" s="131"/>
      <c r="F38" s="131"/>
      <c r="G38" s="131"/>
      <c r="H38" s="131"/>
    </row>
    <row r="39" spans="1:8" ht="25.5">
      <c r="A39" s="147"/>
      <c r="B39" s="131"/>
      <c r="C39" s="131"/>
      <c r="D39" s="131"/>
      <c r="E39" s="131"/>
      <c r="F39" s="265" t="s">
        <v>2894</v>
      </c>
      <c r="G39" s="266"/>
      <c r="H39" s="267"/>
    </row>
    <row r="40" spans="1:8">
      <c r="A40" s="131" t="s">
        <v>52</v>
      </c>
      <c r="B40" s="131"/>
      <c r="C40" s="131"/>
      <c r="D40" s="141"/>
      <c r="E40" s="141"/>
      <c r="F40" s="131"/>
      <c r="G40" s="131"/>
      <c r="H40" s="131"/>
    </row>
    <row r="41" spans="1:8">
      <c r="A41" s="142"/>
      <c r="B41" s="142"/>
      <c r="C41" s="131"/>
      <c r="D41" s="131"/>
      <c r="E41" s="131"/>
      <c r="F41" s="131"/>
      <c r="G41" s="131"/>
      <c r="H41" s="131"/>
    </row>
    <row r="42" spans="1:8">
      <c r="A42" s="131"/>
      <c r="B42" s="131"/>
      <c r="C42" s="131"/>
      <c r="D42" s="131"/>
      <c r="E42" s="131"/>
      <c r="F42" s="131"/>
      <c r="G42" s="131"/>
      <c r="H42" s="131"/>
    </row>
    <row r="43" spans="1:8">
      <c r="A43" s="143" t="s">
        <v>8</v>
      </c>
      <c r="B43" s="131"/>
      <c r="C43" s="131"/>
      <c r="D43" s="143" t="s">
        <v>8</v>
      </c>
      <c r="E43" s="131"/>
      <c r="F43" s="143" t="s">
        <v>7</v>
      </c>
      <c r="G43" s="131"/>
      <c r="H43" s="144"/>
    </row>
    <row r="44" spans="1:8">
      <c r="A44" s="131"/>
      <c r="B44" s="131"/>
      <c r="C44" s="131"/>
      <c r="D44" s="131"/>
      <c r="E44" s="131"/>
      <c r="F44" s="131"/>
      <c r="G44" s="131"/>
      <c r="H44" s="131"/>
    </row>
    <row r="45" spans="1:8">
      <c r="A45" s="131"/>
      <c r="B45" s="131"/>
      <c r="C45" s="131"/>
      <c r="D45" s="131"/>
      <c r="E45" s="131"/>
      <c r="F45" s="131"/>
      <c r="G45" s="131"/>
      <c r="H45" s="131"/>
    </row>
    <row r="46" spans="1:8">
      <c r="A46" s="131"/>
      <c r="B46" s="131"/>
      <c r="C46" s="131"/>
      <c r="D46" s="131"/>
      <c r="E46" s="131"/>
      <c r="F46" s="131"/>
      <c r="G46" s="131"/>
      <c r="H46" s="131"/>
    </row>
    <row r="47" spans="1:8">
      <c r="A47" s="142" t="s">
        <v>51</v>
      </c>
      <c r="B47" s="142"/>
      <c r="C47" s="131"/>
      <c r="D47" s="142" t="s">
        <v>51</v>
      </c>
      <c r="E47" s="131"/>
      <c r="F47" s="142"/>
      <c r="G47" s="142"/>
      <c r="H47" s="142"/>
    </row>
    <row r="48" spans="1:8" s="109" customFormat="1" ht="17.100000000000001" customHeight="1">
      <c r="A48" s="145" t="s">
        <v>2948</v>
      </c>
      <c r="B48" s="146"/>
      <c r="C48" s="146"/>
      <c r="D48" s="145" t="s">
        <v>103</v>
      </c>
      <c r="E48" s="147"/>
      <c r="F48" s="147" t="s">
        <v>3</v>
      </c>
      <c r="G48" s="147"/>
      <c r="H48" s="147"/>
    </row>
    <row r="49" spans="1:8">
      <c r="A49" s="131"/>
      <c r="B49" s="131"/>
      <c r="C49" s="131"/>
      <c r="D49" s="131"/>
      <c r="E49" s="131"/>
      <c r="F49" s="131" t="s">
        <v>2</v>
      </c>
      <c r="G49" s="131"/>
      <c r="H49" s="131"/>
    </row>
    <row r="50" spans="1:8">
      <c r="A50" s="145"/>
      <c r="B50" s="131"/>
      <c r="C50" s="131"/>
      <c r="D50" s="131"/>
      <c r="E50" s="131"/>
      <c r="F50" s="131"/>
      <c r="G50" s="131"/>
      <c r="H50" s="131"/>
    </row>
    <row r="51" spans="1:8">
      <c r="A51" s="131"/>
      <c r="B51" s="131"/>
      <c r="C51" s="131"/>
      <c r="D51" s="131"/>
      <c r="E51" s="131"/>
      <c r="F51" s="110" t="s">
        <v>1</v>
      </c>
      <c r="G51" s="131"/>
      <c r="H51" s="131"/>
    </row>
    <row r="52" spans="1:8">
      <c r="A52" s="131"/>
      <c r="B52" s="131"/>
      <c r="C52" s="131"/>
      <c r="D52" s="131"/>
      <c r="E52" s="131"/>
      <c r="F52" s="110" t="s">
        <v>0</v>
      </c>
      <c r="G52" s="131"/>
      <c r="H52" s="131"/>
    </row>
    <row r="53" spans="1:8">
      <c r="A53" s="131"/>
      <c r="B53" s="131"/>
      <c r="C53" s="131"/>
      <c r="D53" s="131"/>
      <c r="E53" s="131"/>
      <c r="F53" s="131"/>
      <c r="G53" s="131"/>
      <c r="H53" s="131"/>
    </row>
    <row r="54" spans="1:8">
      <c r="A54" s="131"/>
      <c r="B54" s="131"/>
      <c r="C54" s="131"/>
      <c r="D54" s="131"/>
      <c r="E54" s="131"/>
      <c r="F54" s="131"/>
      <c r="G54" s="131"/>
      <c r="H54" s="131"/>
    </row>
    <row r="55" spans="1:8">
      <c r="A55" s="131"/>
      <c r="B55" s="131"/>
      <c r="C55" s="131"/>
      <c r="D55" s="131"/>
      <c r="E55" s="131"/>
      <c r="F55" s="131"/>
      <c r="G55" s="131"/>
      <c r="H55" s="131"/>
    </row>
    <row r="56" spans="1:8">
      <c r="A56" s="131"/>
      <c r="B56" s="131"/>
      <c r="C56" s="131"/>
      <c r="D56" s="131"/>
      <c r="E56" s="131"/>
      <c r="F56" s="131"/>
      <c r="G56" s="131"/>
      <c r="H56" s="131"/>
    </row>
    <row r="57" spans="1:8">
      <c r="A57" s="131"/>
      <c r="B57" s="131"/>
      <c r="C57" s="131"/>
      <c r="D57" s="131"/>
      <c r="E57" s="131"/>
      <c r="F57" s="131"/>
      <c r="G57" s="131"/>
      <c r="H57" s="131"/>
    </row>
    <row r="58" spans="1:8">
      <c r="A58" s="131"/>
      <c r="B58" s="131"/>
      <c r="C58" s="131"/>
      <c r="D58" s="131"/>
      <c r="E58" s="131"/>
      <c r="F58" s="131"/>
      <c r="G58" s="131"/>
      <c r="H58" s="131"/>
    </row>
    <row r="59" spans="1:8">
      <c r="A59" s="131"/>
      <c r="B59" s="131"/>
      <c r="C59" s="131"/>
      <c r="D59" s="131"/>
      <c r="E59" s="131"/>
      <c r="F59" s="131"/>
      <c r="G59" s="131"/>
      <c r="H59" s="131"/>
    </row>
    <row r="60" spans="1:8">
      <c r="A60" s="131"/>
      <c r="B60" s="131"/>
      <c r="C60" s="131"/>
      <c r="D60" s="131"/>
      <c r="E60" s="131"/>
      <c r="F60" s="131"/>
      <c r="G60" s="131"/>
      <c r="H60" s="131"/>
    </row>
    <row r="61" spans="1:8">
      <c r="A61" s="131"/>
      <c r="B61" s="131"/>
      <c r="C61" s="131"/>
      <c r="D61" s="131"/>
      <c r="E61" s="131"/>
      <c r="F61" s="131"/>
      <c r="G61" s="131"/>
      <c r="H61" s="131"/>
    </row>
    <row r="62" spans="1:8">
      <c r="A62" s="131"/>
      <c r="B62" s="131"/>
      <c r="C62" s="131"/>
      <c r="D62" s="131"/>
      <c r="E62" s="131"/>
      <c r="F62" s="131"/>
      <c r="G62" s="131"/>
      <c r="H62" s="131"/>
    </row>
    <row r="63" spans="1:8">
      <c r="A63" s="131"/>
      <c r="B63" s="131"/>
      <c r="C63" s="131"/>
      <c r="D63" s="131"/>
      <c r="E63" s="131"/>
      <c r="F63" s="131"/>
      <c r="G63" s="131"/>
      <c r="H63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Sheet194">
    <pageSetUpPr fitToPage="1"/>
  </sheetPr>
  <dimension ref="A1:F54"/>
  <sheetViews>
    <sheetView topLeftCell="A4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1946</v>
      </c>
      <c r="F9" s="111"/>
    </row>
    <row r="10" spans="1:6">
      <c r="A10" s="111" t="s">
        <v>1949</v>
      </c>
      <c r="B10" s="111"/>
      <c r="C10" s="111"/>
      <c r="D10" s="112" t="s">
        <v>1162</v>
      </c>
      <c r="E10" s="123" t="s">
        <v>1947</v>
      </c>
      <c r="F10" s="111"/>
    </row>
    <row r="11" spans="1:6">
      <c r="A11" s="111" t="s">
        <v>1953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1954</v>
      </c>
      <c r="B12" s="111"/>
      <c r="C12" s="111"/>
      <c r="D12" s="112" t="s">
        <v>1135</v>
      </c>
      <c r="E12" s="112" t="s">
        <v>1948</v>
      </c>
      <c r="F12" s="111"/>
    </row>
    <row r="13" spans="1:6">
      <c r="A13" s="111" t="s">
        <v>1955</v>
      </c>
      <c r="B13" s="111"/>
      <c r="C13" s="111"/>
      <c r="D13" s="111"/>
      <c r="E13" s="111"/>
      <c r="F13" s="111"/>
    </row>
    <row r="14" spans="1:6">
      <c r="A14" s="111" t="s">
        <v>1956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111" t="s">
        <v>1950</v>
      </c>
      <c r="D18" s="111"/>
      <c r="E18" s="111"/>
      <c r="F18" s="111">
        <v>500</v>
      </c>
    </row>
    <row r="19" spans="1:6">
      <c r="A19" s="116"/>
      <c r="B19" s="116"/>
      <c r="C19" s="111" t="s">
        <v>1951</v>
      </c>
      <c r="D19" s="111"/>
      <c r="E19" s="111"/>
      <c r="F19" s="111"/>
    </row>
    <row r="20" spans="1:6">
      <c r="A20" s="116"/>
      <c r="B20" s="116"/>
      <c r="C20" s="111"/>
      <c r="D20" s="111"/>
      <c r="E20" s="111"/>
      <c r="F20" s="111"/>
    </row>
    <row r="21" spans="1:6">
      <c r="A21" s="116"/>
      <c r="B21" s="120"/>
      <c r="C21" s="205" t="s">
        <v>1952</v>
      </c>
      <c r="D21" s="111"/>
      <c r="E21" s="111"/>
      <c r="F21" s="111"/>
    </row>
    <row r="22" spans="1:6">
      <c r="A22" s="116"/>
      <c r="B22" s="120"/>
      <c r="C22" s="120"/>
      <c r="D22" s="111"/>
      <c r="E22" s="111"/>
      <c r="F22" s="111"/>
    </row>
    <row r="23" spans="1:6">
      <c r="A23" s="116"/>
      <c r="B23" s="120"/>
      <c r="C23" s="111"/>
      <c r="D23" s="111"/>
      <c r="E23" s="111"/>
      <c r="F23" s="111"/>
    </row>
    <row r="24" spans="1:6">
      <c r="A24" s="116"/>
      <c r="B24" s="120"/>
      <c r="C24" s="111"/>
      <c r="D24" s="111"/>
      <c r="E24" s="111"/>
      <c r="F24" s="111"/>
    </row>
    <row r="25" spans="1:6">
      <c r="A25" s="116"/>
      <c r="B25" s="120"/>
      <c r="C25" s="120"/>
      <c r="D25" s="111"/>
      <c r="E25" s="111"/>
      <c r="F25" s="111"/>
    </row>
    <row r="26" spans="1:6">
      <c r="A26" s="116"/>
      <c r="B26" s="120"/>
      <c r="C26" s="120"/>
      <c r="D26" s="111"/>
      <c r="E26" s="111"/>
      <c r="F26" s="111"/>
    </row>
    <row r="27" spans="1:6">
      <c r="A27" s="116"/>
      <c r="B27" s="120"/>
      <c r="C27" s="111"/>
      <c r="D27" s="111"/>
      <c r="E27" s="111"/>
      <c r="F27" s="111"/>
    </row>
    <row r="28" spans="1:6">
      <c r="A28" s="116"/>
      <c r="B28" s="120"/>
    </row>
    <row r="29" spans="1:6">
      <c r="A29" s="116"/>
      <c r="B29" s="120"/>
      <c r="C29" s="111"/>
      <c r="D29" s="111"/>
      <c r="E29" s="111"/>
      <c r="F29" s="111"/>
    </row>
    <row r="30" spans="1:6">
      <c r="A30" s="116"/>
      <c r="B30" s="120"/>
      <c r="C30" s="111"/>
      <c r="D30" s="111"/>
      <c r="E30" s="111"/>
      <c r="F30" s="111"/>
    </row>
    <row r="31" spans="1:6">
      <c r="A31" s="116"/>
      <c r="B31" s="120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1284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B42" s="111"/>
      <c r="C42" s="111"/>
      <c r="D42" s="111"/>
      <c r="E42" s="111"/>
      <c r="F42" s="111"/>
    </row>
    <row r="43" spans="1:6">
      <c r="A43" s="123" t="s">
        <v>8</v>
      </c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Sheet214">
    <pageSetUpPr fitToPage="1"/>
  </sheetPr>
  <dimension ref="A1:F50"/>
  <sheetViews>
    <sheetView topLeftCell="A5"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2.42578125" style="131" customWidth="1"/>
    <col min="5" max="5" width="8.7109375" style="131" customWidth="1"/>
    <col min="6" max="6" width="13.28515625" style="131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1110</v>
      </c>
      <c r="E9" s="111" t="s">
        <v>2398</v>
      </c>
    </row>
    <row r="10" spans="1:6">
      <c r="A10" s="131" t="s">
        <v>1937</v>
      </c>
      <c r="D10" s="132" t="s">
        <v>1685</v>
      </c>
      <c r="E10" s="123" t="s">
        <v>2397</v>
      </c>
    </row>
    <row r="11" spans="1:6">
      <c r="A11" s="131" t="s">
        <v>1938</v>
      </c>
      <c r="D11" s="132" t="s">
        <v>1163</v>
      </c>
      <c r="E11" s="112" t="s">
        <v>1094</v>
      </c>
    </row>
    <row r="12" spans="1:6">
      <c r="A12" s="131" t="s">
        <v>1939</v>
      </c>
      <c r="D12" s="132" t="s">
        <v>1188</v>
      </c>
      <c r="E12" s="120" t="s">
        <v>2399</v>
      </c>
    </row>
    <row r="13" spans="1:6">
      <c r="A13" s="131" t="s">
        <v>1323</v>
      </c>
      <c r="E13" s="111"/>
    </row>
    <row r="14" spans="1:6">
      <c r="A14" s="131" t="s">
        <v>1940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6">
      <c r="A17" s="177"/>
    </row>
    <row r="18" spans="1:6">
      <c r="A18" s="111"/>
      <c r="B18" s="111"/>
      <c r="C18" s="2" t="s">
        <v>2400</v>
      </c>
      <c r="D18" s="111"/>
      <c r="E18" s="111"/>
      <c r="F18" s="111"/>
    </row>
    <row r="19" spans="1:6">
      <c r="A19" s="173"/>
      <c r="B19" s="121"/>
      <c r="C19" s="2" t="s">
        <v>2401</v>
      </c>
      <c r="D19" s="111"/>
      <c r="E19" s="111"/>
      <c r="F19" s="111"/>
    </row>
    <row r="20" spans="1:6">
      <c r="A20" s="173"/>
      <c r="B20" s="174"/>
      <c r="C20" s="111"/>
      <c r="D20" s="111"/>
      <c r="E20" s="111"/>
      <c r="F20" s="111"/>
    </row>
    <row r="21" spans="1:6">
      <c r="A21" s="120" t="s">
        <v>2402</v>
      </c>
      <c r="B21" s="121" t="s">
        <v>2403</v>
      </c>
      <c r="C21" s="111" t="s">
        <v>2405</v>
      </c>
      <c r="D21" s="111"/>
      <c r="E21" s="111"/>
      <c r="F21" s="111">
        <f>346.84*6</f>
        <v>2081.04</v>
      </c>
    </row>
    <row r="22" spans="1:6">
      <c r="A22" s="158"/>
      <c r="B22" s="141" t="s">
        <v>2404</v>
      </c>
      <c r="C22" s="131" t="s">
        <v>2406</v>
      </c>
    </row>
    <row r="23" spans="1:6">
      <c r="A23" s="177"/>
      <c r="B23" s="141"/>
    </row>
    <row r="24" spans="1:6">
      <c r="B24" s="141"/>
    </row>
    <row r="25" spans="1:6">
      <c r="B25" s="141"/>
    </row>
    <row r="26" spans="1:6">
      <c r="A26" s="86"/>
      <c r="B26" s="103"/>
    </row>
    <row r="27" spans="1:6">
      <c r="A27" s="86"/>
      <c r="B27" s="103"/>
    </row>
    <row r="28" spans="1:6">
      <c r="A28" s="86"/>
      <c r="B28" s="86"/>
      <c r="C28" s="86"/>
      <c r="D28" s="86"/>
      <c r="E28" s="86"/>
      <c r="F28" s="86"/>
    </row>
    <row r="29" spans="1:6" ht="13.5" thickBot="1">
      <c r="A29" s="177"/>
      <c r="F29" s="137">
        <f>SUM(F19:F28)</f>
        <v>2081.04</v>
      </c>
    </row>
    <row r="30" spans="1:6" ht="13.5" thickTop="1">
      <c r="A30" s="177"/>
    </row>
    <row r="31" spans="1:6">
      <c r="A31" s="177"/>
    </row>
    <row r="32" spans="1:6" ht="20.100000000000001" customHeight="1">
      <c r="A32" s="138" t="s">
        <v>1686</v>
      </c>
      <c r="B32" s="204" t="s">
        <v>1462</v>
      </c>
      <c r="C32" s="139"/>
      <c r="D32" s="139"/>
      <c r="E32" s="139"/>
    </row>
    <row r="33" spans="1:6" ht="13.5" thickBot="1">
      <c r="A33" s="140"/>
      <c r="F33" s="230">
        <f>SUM(F20:F32)</f>
        <v>4162.08</v>
      </c>
    </row>
    <row r="34" spans="1:6" ht="13.5" thickTop="1">
      <c r="A34" s="131" t="s">
        <v>10</v>
      </c>
    </row>
    <row r="37" spans="1:6">
      <c r="A37" s="131" t="s">
        <v>51</v>
      </c>
      <c r="C37" s="141"/>
    </row>
    <row r="38" spans="1:6">
      <c r="A38" s="142"/>
      <c r="B38" s="142"/>
    </row>
    <row r="39" spans="1:6" ht="25.5">
      <c r="A39" s="147"/>
      <c r="D39" s="265" t="s">
        <v>2894</v>
      </c>
      <c r="E39" s="266"/>
      <c r="F39" s="267"/>
    </row>
    <row r="40" spans="1:6">
      <c r="A40" s="131" t="s">
        <v>8</v>
      </c>
      <c r="F40" s="144"/>
    </row>
    <row r="44" spans="1:6">
      <c r="A44" s="142" t="s">
        <v>51</v>
      </c>
      <c r="B44" s="142"/>
      <c r="D44" s="142"/>
      <c r="E44" s="142"/>
      <c r="F44" s="142"/>
    </row>
    <row r="45" spans="1:6" s="109" customFormat="1" ht="17.100000000000001" customHeight="1">
      <c r="A45" s="147" t="s">
        <v>4</v>
      </c>
      <c r="B45" s="146"/>
      <c r="C45" s="147"/>
      <c r="D45" s="147" t="s">
        <v>3</v>
      </c>
      <c r="E45" s="147"/>
      <c r="F45" s="147"/>
    </row>
    <row r="46" spans="1:6">
      <c r="D46" s="131" t="s">
        <v>2</v>
      </c>
    </row>
    <row r="48" spans="1:6">
      <c r="D48" s="110" t="s">
        <v>1</v>
      </c>
    </row>
    <row r="49" spans="1:4">
      <c r="D49" s="110" t="s">
        <v>0</v>
      </c>
    </row>
    <row r="50" spans="1:4">
      <c r="A50" s="145" t="s">
        <v>2948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Sheet215">
    <pageSetUpPr fitToPage="1"/>
  </sheetPr>
  <dimension ref="A1:F54"/>
  <sheetViews>
    <sheetView topLeftCell="A13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1941</v>
      </c>
      <c r="F9" s="111"/>
    </row>
    <row r="10" spans="1:6">
      <c r="A10" s="111" t="s">
        <v>1679</v>
      </c>
      <c r="B10" s="111"/>
      <c r="C10" s="111"/>
      <c r="D10" s="112" t="s">
        <v>1162</v>
      </c>
      <c r="E10" s="123" t="s">
        <v>1944</v>
      </c>
      <c r="F10" s="111"/>
    </row>
    <row r="11" spans="1:6">
      <c r="A11" s="111"/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1135</v>
      </c>
      <c r="E12" s="112" t="s">
        <v>1942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111" t="s">
        <v>1943</v>
      </c>
      <c r="D18" s="111"/>
      <c r="E18" s="111"/>
      <c r="F18" s="111"/>
    </row>
    <row r="19" spans="1:6">
      <c r="A19" s="116"/>
      <c r="B19" s="116"/>
      <c r="C19" s="111"/>
      <c r="D19" s="111"/>
      <c r="E19" s="111"/>
      <c r="F19" s="111"/>
    </row>
    <row r="20" spans="1:6">
      <c r="A20" s="116"/>
      <c r="B20" s="116"/>
      <c r="C20" s="111" t="s">
        <v>1680</v>
      </c>
      <c r="D20" s="111"/>
      <c r="E20" s="111"/>
      <c r="F20" s="111"/>
    </row>
    <row r="21" spans="1:6">
      <c r="A21" s="116"/>
      <c r="B21" s="120"/>
      <c r="C21" s="120" t="s">
        <v>1681</v>
      </c>
      <c r="D21" s="111"/>
      <c r="E21" s="111"/>
      <c r="F21" s="111">
        <v>723</v>
      </c>
    </row>
    <row r="22" spans="1:6">
      <c r="A22" s="116"/>
      <c r="B22" s="120"/>
      <c r="C22" s="120" t="s">
        <v>1682</v>
      </c>
      <c r="D22" s="111"/>
      <c r="E22" s="111"/>
      <c r="F22" s="111">
        <v>206.5</v>
      </c>
    </row>
    <row r="23" spans="1:6">
      <c r="A23" s="116"/>
      <c r="B23" s="120"/>
      <c r="C23" s="111"/>
      <c r="D23" s="111"/>
      <c r="E23" s="111"/>
      <c r="F23" s="111"/>
    </row>
    <row r="24" spans="1:6">
      <c r="A24" s="116"/>
      <c r="B24" s="120"/>
      <c r="C24" s="111" t="s">
        <v>1683</v>
      </c>
      <c r="D24" s="111"/>
      <c r="E24" s="111"/>
      <c r="F24" s="111"/>
    </row>
    <row r="25" spans="1:6">
      <c r="A25" s="116"/>
      <c r="B25" s="120"/>
      <c r="C25" s="120" t="s">
        <v>1681</v>
      </c>
      <c r="D25" s="111"/>
      <c r="E25" s="111"/>
      <c r="F25" s="111">
        <v>198.75</v>
      </c>
    </row>
    <row r="26" spans="1:6">
      <c r="A26" s="116"/>
      <c r="B26" s="120"/>
      <c r="C26" s="120" t="s">
        <v>1682</v>
      </c>
      <c r="D26" s="111"/>
      <c r="E26" s="111"/>
      <c r="F26" s="111">
        <v>46.25</v>
      </c>
    </row>
    <row r="27" spans="1:6">
      <c r="A27" s="116"/>
      <c r="B27" s="120"/>
      <c r="C27" s="111"/>
      <c r="D27" s="111"/>
      <c r="E27" s="111"/>
      <c r="F27" s="111"/>
    </row>
    <row r="28" spans="1:6">
      <c r="A28" s="116"/>
      <c r="B28" s="120"/>
    </row>
    <row r="29" spans="1:6">
      <c r="A29" s="116"/>
      <c r="B29" s="120"/>
      <c r="C29" s="111"/>
      <c r="D29" s="111"/>
      <c r="E29" s="111"/>
      <c r="F29" s="111"/>
    </row>
    <row r="30" spans="1:6">
      <c r="A30" s="116"/>
      <c r="B30" s="120"/>
      <c r="C30" s="111"/>
      <c r="D30" s="111"/>
      <c r="E30" s="111"/>
      <c r="F30" s="111"/>
    </row>
    <row r="31" spans="1:6">
      <c r="A31" s="116"/>
      <c r="B31" s="120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1174.5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1945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B42" s="111"/>
      <c r="C42" s="111"/>
      <c r="D42" s="111"/>
      <c r="E42" s="111"/>
      <c r="F42" s="111"/>
    </row>
    <row r="43" spans="1:6">
      <c r="A43" s="123" t="s">
        <v>8</v>
      </c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Sheet216">
    <pageSetUpPr fitToPage="1"/>
  </sheetPr>
  <dimension ref="A1:F52"/>
  <sheetViews>
    <sheetView topLeftCell="A13" workbookViewId="0">
      <selection activeCell="G9" sqref="G9:G13"/>
    </sheetView>
  </sheetViews>
  <sheetFormatPr defaultRowHeight="12.75"/>
  <cols>
    <col min="1" max="1" width="15.85546875" style="131" customWidth="1"/>
    <col min="2" max="2" width="14.42578125" style="131" customWidth="1"/>
    <col min="3" max="3" width="21" style="131" customWidth="1"/>
    <col min="4" max="4" width="12.7109375" style="131" customWidth="1"/>
    <col min="5" max="5" width="8.425781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1110</v>
      </c>
      <c r="E9" s="131" t="s">
        <v>3114</v>
      </c>
    </row>
    <row r="10" spans="1:6">
      <c r="A10" s="131" t="s">
        <v>1915</v>
      </c>
      <c r="D10" s="132" t="s">
        <v>1855</v>
      </c>
      <c r="E10" s="132" t="s">
        <v>3113</v>
      </c>
    </row>
    <row r="11" spans="1:6">
      <c r="A11" s="131" t="s">
        <v>1918</v>
      </c>
      <c r="D11" s="132" t="s">
        <v>1181</v>
      </c>
      <c r="E11" s="132" t="s">
        <v>1094</v>
      </c>
    </row>
    <row r="12" spans="1:6">
      <c r="A12" s="131" t="s">
        <v>1916</v>
      </c>
      <c r="D12" s="132" t="s">
        <v>1182</v>
      </c>
      <c r="E12" s="132" t="s">
        <v>3115</v>
      </c>
    </row>
    <row r="13" spans="1:6">
      <c r="A13" s="131" t="s">
        <v>1917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8" spans="1:6">
      <c r="A18" s="165"/>
      <c r="B18" s="158"/>
      <c r="C18" s="110" t="s">
        <v>1913</v>
      </c>
      <c r="F18" s="149"/>
    </row>
    <row r="19" spans="1:6">
      <c r="C19" s="110" t="s">
        <v>1914</v>
      </c>
      <c r="F19" s="149"/>
    </row>
    <row r="20" spans="1:6">
      <c r="A20" s="165"/>
      <c r="B20" s="158"/>
      <c r="F20" s="149"/>
    </row>
    <row r="21" spans="1:6">
      <c r="A21" s="158" t="s">
        <v>1919</v>
      </c>
      <c r="B21" s="141" t="s">
        <v>1920</v>
      </c>
      <c r="C21" s="140" t="s">
        <v>1921</v>
      </c>
      <c r="F21" s="131">
        <f>91800/9.25069</f>
        <v>9923.5840785930559</v>
      </c>
    </row>
    <row r="22" spans="1:6">
      <c r="C22" s="131" t="s">
        <v>1923</v>
      </c>
    </row>
    <row r="24" spans="1:6">
      <c r="A24" s="162"/>
      <c r="B24" s="140"/>
      <c r="C24" s="131" t="s">
        <v>1922</v>
      </c>
      <c r="F24" s="149">
        <f>10000/9.25069</f>
        <v>1081.0004442911825</v>
      </c>
    </row>
    <row r="25" spans="1:6">
      <c r="A25" s="163"/>
      <c r="B25" s="140"/>
      <c r="C25" s="131" t="s">
        <v>1924</v>
      </c>
      <c r="F25" s="149"/>
    </row>
    <row r="26" spans="1:6">
      <c r="A26" s="165"/>
      <c r="B26" s="140"/>
    </row>
    <row r="27" spans="1:6">
      <c r="A27" s="162"/>
      <c r="C27" s="131" t="s">
        <v>1697</v>
      </c>
      <c r="F27" s="131">
        <v>30</v>
      </c>
    </row>
    <row r="28" spans="1:6">
      <c r="A28" s="162"/>
    </row>
    <row r="33" spans="1:6" ht="13.5" thickBot="1">
      <c r="F33" s="164">
        <f>SUM(F20:F32)</f>
        <v>11034.584522884239</v>
      </c>
    </row>
    <row r="34" spans="1:6" ht="13.5" thickTop="1"/>
    <row r="35" spans="1:6" ht="20.100000000000001" customHeight="1">
      <c r="A35" s="138" t="s">
        <v>204</v>
      </c>
      <c r="B35" s="138" t="s">
        <v>1925</v>
      </c>
      <c r="C35" s="139"/>
      <c r="D35" s="139"/>
      <c r="E35" s="139"/>
      <c r="F35" s="139"/>
    </row>
    <row r="36" spans="1:6">
      <c r="A36" s="140" t="s">
        <v>11</v>
      </c>
    </row>
    <row r="37" spans="1:6">
      <c r="A37" s="131" t="s">
        <v>10</v>
      </c>
    </row>
    <row r="39" spans="1:6" ht="25.5">
      <c r="A39" s="147"/>
      <c r="D39" s="265" t="s">
        <v>2894</v>
      </c>
      <c r="E39" s="266"/>
      <c r="F39" s="267"/>
    </row>
    <row r="40" spans="1:6">
      <c r="A40" s="131" t="s">
        <v>52</v>
      </c>
      <c r="C40" s="141"/>
    </row>
    <row r="41" spans="1:6">
      <c r="A41" s="142"/>
      <c r="B41" s="142"/>
    </row>
    <row r="43" spans="1:6">
      <c r="A43" s="143" t="s">
        <v>8</v>
      </c>
      <c r="D43" s="143" t="s">
        <v>7</v>
      </c>
      <c r="F43" s="144"/>
    </row>
    <row r="47" spans="1:6">
      <c r="A47" s="142" t="s">
        <v>51</v>
      </c>
      <c r="B47" s="142"/>
      <c r="D47" s="142"/>
      <c r="E47" s="142"/>
      <c r="F47" s="142"/>
    </row>
    <row r="48" spans="1:6" s="147" customFormat="1" ht="17.100000000000001" customHeight="1">
      <c r="A48" s="146" t="s">
        <v>4</v>
      </c>
      <c r="B48" s="146"/>
      <c r="D48" s="147" t="s">
        <v>3</v>
      </c>
    </row>
    <row r="49" spans="1:4">
      <c r="D49" s="131" t="s">
        <v>2</v>
      </c>
    </row>
    <row r="50" spans="1:4">
      <c r="A50" s="145" t="s">
        <v>2948</v>
      </c>
    </row>
    <row r="51" spans="1:4">
      <c r="D51" s="110" t="s">
        <v>1</v>
      </c>
    </row>
    <row r="52" spans="1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Sheet217">
    <pageSetUpPr fitToPage="1"/>
  </sheetPr>
  <dimension ref="A1:F50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31" t="s">
        <v>1867</v>
      </c>
    </row>
    <row r="10" spans="1:6">
      <c r="A10" s="111" t="s">
        <v>1869</v>
      </c>
      <c r="D10" s="112" t="s">
        <v>1162</v>
      </c>
      <c r="E10" s="132" t="s">
        <v>1864</v>
      </c>
    </row>
    <row r="11" spans="1:6">
      <c r="A11" s="111" t="s">
        <v>1870</v>
      </c>
      <c r="D11" s="112" t="s">
        <v>1163</v>
      </c>
      <c r="E11" s="132" t="s">
        <v>1094</v>
      </c>
    </row>
    <row r="12" spans="1:6">
      <c r="A12" s="111" t="s">
        <v>1871</v>
      </c>
      <c r="D12" s="112" t="s">
        <v>1135</v>
      </c>
      <c r="E12" s="132" t="s">
        <v>1868</v>
      </c>
    </row>
    <row r="13" spans="1:6">
      <c r="A13" s="111" t="s">
        <v>1872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1873</v>
      </c>
    </row>
    <row r="19" spans="1:6">
      <c r="A19" s="161"/>
      <c r="B19" s="116"/>
    </row>
    <row r="20" spans="1:6">
      <c r="C20" s="111" t="s">
        <v>1874</v>
      </c>
      <c r="F20" s="111">
        <v>1000</v>
      </c>
    </row>
    <row r="21" spans="1:6">
      <c r="C21" s="120" t="s">
        <v>1875</v>
      </c>
    </row>
    <row r="27" spans="1:6">
      <c r="F27" s="2"/>
    </row>
    <row r="28" spans="1:6">
      <c r="B28" s="120"/>
    </row>
    <row r="29" spans="1:6">
      <c r="B29" s="120"/>
    </row>
    <row r="31" spans="1:6" ht="13.5" thickBot="1">
      <c r="F31" s="127">
        <f>SUM(F19:F30)</f>
        <v>1000</v>
      </c>
    </row>
    <row r="32" spans="1:6" ht="13.5" thickTop="1"/>
    <row r="33" spans="1:6" ht="20.100000000000001" customHeight="1" thickBot="1">
      <c r="A33" s="118" t="s">
        <v>1133</v>
      </c>
      <c r="B33" s="118" t="s">
        <v>1462</v>
      </c>
      <c r="C33" s="119"/>
      <c r="D33" s="119"/>
      <c r="E33" s="119"/>
      <c r="F33" s="117">
        <f>SUM(F20:F32)</f>
        <v>2000</v>
      </c>
    </row>
    <row r="34" spans="1:6" ht="13.5" thickTop="1">
      <c r="A34" s="120"/>
    </row>
    <row r="35" spans="1:6">
      <c r="A35" s="123" t="s">
        <v>10</v>
      </c>
    </row>
    <row r="36" spans="1:6">
      <c r="A36" s="123"/>
    </row>
    <row r="37" spans="1:6">
      <c r="A37" s="123"/>
    </row>
    <row r="38" spans="1:6">
      <c r="A38" s="123"/>
      <c r="C38" s="121"/>
    </row>
    <row r="39" spans="1:6" ht="25.5">
      <c r="A39" s="270"/>
      <c r="B39" s="122"/>
      <c r="D39" s="265" t="s">
        <v>2894</v>
      </c>
      <c r="E39" s="266"/>
      <c r="F39" s="267"/>
    </row>
    <row r="41" spans="1:6">
      <c r="A41" s="123" t="s">
        <v>8</v>
      </c>
      <c r="D41" s="123" t="s">
        <v>7</v>
      </c>
      <c r="F41" s="124"/>
    </row>
    <row r="42" spans="1:6">
      <c r="A42" s="123"/>
    </row>
    <row r="43" spans="1:6">
      <c r="A43" s="123"/>
    </row>
    <row r="44" spans="1:6">
      <c r="A44" s="123"/>
    </row>
    <row r="45" spans="1:6">
      <c r="A45" s="150"/>
      <c r="B45" s="122"/>
      <c r="D45" s="122"/>
      <c r="E45" s="122"/>
      <c r="F45" s="122"/>
    </row>
    <row r="46" spans="1:6" s="126" customFormat="1" ht="17.100000000000001" customHeight="1">
      <c r="A46" s="151" t="s">
        <v>4</v>
      </c>
      <c r="B46" s="125"/>
      <c r="D46" s="126" t="s">
        <v>3</v>
      </c>
    </row>
    <row r="47" spans="1:6">
      <c r="A47" s="123"/>
      <c r="D47" s="111" t="s">
        <v>2</v>
      </c>
    </row>
    <row r="48" spans="1:6">
      <c r="A48" s="123"/>
    </row>
    <row r="49" spans="1:4">
      <c r="D49" s="2" t="s">
        <v>1</v>
      </c>
    </row>
    <row r="50" spans="1:4">
      <c r="A50" s="151" t="s">
        <v>2948</v>
      </c>
      <c r="D50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Sheet218">
    <pageSetUpPr fitToPage="1"/>
  </sheetPr>
  <dimension ref="A1:F54"/>
  <sheetViews>
    <sheetView topLeftCell="A16" workbookViewId="0">
      <selection activeCell="G9" sqref="G9:G13"/>
    </sheetView>
  </sheetViews>
  <sheetFormatPr defaultRowHeight="12.75"/>
  <cols>
    <col min="1" max="1" width="15.85546875" style="131" customWidth="1"/>
    <col min="2" max="2" width="14.42578125" style="131" customWidth="1"/>
    <col min="3" max="3" width="21" style="131" customWidth="1"/>
    <col min="4" max="4" width="12.7109375" style="131" customWidth="1"/>
    <col min="5" max="5" width="8.425781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1110</v>
      </c>
      <c r="E9" s="111" t="s">
        <v>3875</v>
      </c>
    </row>
    <row r="10" spans="1:6">
      <c r="A10" s="131" t="s">
        <v>1854</v>
      </c>
      <c r="D10" s="132" t="s">
        <v>1855</v>
      </c>
      <c r="E10" s="112" t="s">
        <v>3883</v>
      </c>
    </row>
    <row r="11" spans="1:6">
      <c r="A11" s="131" t="s">
        <v>1856</v>
      </c>
      <c r="D11" s="132" t="s">
        <v>1181</v>
      </c>
      <c r="E11" s="112" t="s">
        <v>1094</v>
      </c>
    </row>
    <row r="12" spans="1:6">
      <c r="A12" s="131" t="s">
        <v>1857</v>
      </c>
      <c r="D12" s="132" t="s">
        <v>1182</v>
      </c>
      <c r="E12" s="112" t="s">
        <v>3876</v>
      </c>
    </row>
    <row r="13" spans="1:6">
      <c r="A13" s="131" t="s">
        <v>1257</v>
      </c>
      <c r="E13" s="111"/>
    </row>
    <row r="14" spans="1:6">
      <c r="A14" s="131" t="s">
        <v>1858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8" spans="1:6">
      <c r="C18" s="110" t="s">
        <v>2849</v>
      </c>
    </row>
    <row r="19" spans="1:6">
      <c r="A19" s="163"/>
    </row>
    <row r="20" spans="1:6">
      <c r="A20" s="165" t="s">
        <v>3877</v>
      </c>
      <c r="B20" s="158" t="s">
        <v>3878</v>
      </c>
      <c r="C20" s="131" t="s">
        <v>3879</v>
      </c>
      <c r="F20" s="149">
        <v>9600</v>
      </c>
    </row>
    <row r="21" spans="1:6">
      <c r="A21" s="165"/>
      <c r="B21" s="140"/>
      <c r="C21" s="131" t="s">
        <v>3880</v>
      </c>
      <c r="F21" s="149">
        <v>200</v>
      </c>
    </row>
    <row r="22" spans="1:6">
      <c r="F22" s="149"/>
    </row>
    <row r="23" spans="1:6">
      <c r="F23" s="149"/>
    </row>
    <row r="24" spans="1:6">
      <c r="F24" s="149"/>
    </row>
    <row r="25" spans="1:6">
      <c r="A25" s="162"/>
      <c r="F25" s="149"/>
    </row>
    <row r="26" spans="1:6">
      <c r="A26" s="162"/>
      <c r="B26" s="140"/>
      <c r="F26" s="149"/>
    </row>
    <row r="27" spans="1:6">
      <c r="A27" s="163"/>
      <c r="B27" s="140"/>
      <c r="C27" s="110"/>
      <c r="F27" s="149"/>
    </row>
    <row r="28" spans="1:6">
      <c r="A28" s="162"/>
      <c r="B28" s="140"/>
    </row>
    <row r="29" spans="1:6">
      <c r="A29" s="162"/>
    </row>
    <row r="30" spans="1:6">
      <c r="A30" s="162"/>
    </row>
    <row r="35" spans="1:6" ht="13.5" thickBot="1">
      <c r="F35" s="164">
        <f>SUM(F20:F34)</f>
        <v>9800</v>
      </c>
    </row>
    <row r="36" spans="1:6" ht="13.5" thickTop="1"/>
    <row r="37" spans="1:6" ht="20.100000000000001" customHeight="1">
      <c r="A37" s="138" t="s">
        <v>204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Nine Thousand Eight Hundred and NO/100 -----------</v>
      </c>
      <c r="C37" s="139"/>
      <c r="D37" s="139"/>
      <c r="E37" s="139"/>
      <c r="F37" s="139"/>
    </row>
    <row r="38" spans="1:6">
      <c r="A38" s="140" t="s">
        <v>11</v>
      </c>
    </row>
    <row r="39" spans="1:6" ht="25.5">
      <c r="A39" s="147" t="s">
        <v>10</v>
      </c>
      <c r="D39" s="265" t="s">
        <v>2894</v>
      </c>
      <c r="E39" s="266"/>
      <c r="F39" s="267"/>
    </row>
    <row r="42" spans="1:6">
      <c r="A42" s="131" t="s">
        <v>52</v>
      </c>
      <c r="C42" s="141"/>
    </row>
    <row r="43" spans="1:6">
      <c r="A43" s="142"/>
      <c r="B43" s="142"/>
    </row>
    <row r="45" spans="1:6">
      <c r="A45" s="143" t="s">
        <v>8</v>
      </c>
      <c r="D45" s="143" t="s">
        <v>7</v>
      </c>
      <c r="F45" s="144"/>
    </row>
    <row r="49" spans="1:6">
      <c r="A49" s="142" t="s">
        <v>51</v>
      </c>
      <c r="B49" s="142"/>
      <c r="D49" s="142"/>
      <c r="E49" s="142"/>
      <c r="F49" s="142"/>
    </row>
    <row r="50" spans="1:6" s="147" customFormat="1" ht="17.100000000000001" customHeight="1">
      <c r="A50" s="145" t="s">
        <v>2948</v>
      </c>
      <c r="B50" s="146"/>
      <c r="D50" s="147" t="s">
        <v>3</v>
      </c>
    </row>
    <row r="51" spans="1:6">
      <c r="D51" s="131" t="s">
        <v>2</v>
      </c>
    </row>
    <row r="53" spans="1:6">
      <c r="D53" s="110" t="s">
        <v>1</v>
      </c>
    </row>
    <row r="54" spans="1:6">
      <c r="D54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Sheet200"/>
  <dimension ref="A1:F54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2.7109375" style="131" customWidth="1"/>
    <col min="5" max="5" width="10.1406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5" spans="1:6" hidden="1"/>
    <row r="8" spans="1:6">
      <c r="A8" s="131" t="s">
        <v>24</v>
      </c>
      <c r="D8" s="87" t="s">
        <v>23</v>
      </c>
    </row>
    <row r="9" spans="1:6">
      <c r="D9" s="132" t="s">
        <v>1766</v>
      </c>
      <c r="E9" s="111" t="s">
        <v>2043</v>
      </c>
    </row>
    <row r="10" spans="1:6">
      <c r="A10" s="131" t="s">
        <v>1767</v>
      </c>
      <c r="D10" s="132" t="s">
        <v>1124</v>
      </c>
      <c r="E10" s="123" t="s">
        <v>2022</v>
      </c>
    </row>
    <row r="11" spans="1:6">
      <c r="A11" s="131" t="s">
        <v>2045</v>
      </c>
      <c r="D11" s="132" t="s">
        <v>1125</v>
      </c>
      <c r="E11" s="112" t="s">
        <v>2023</v>
      </c>
    </row>
    <row r="12" spans="1:6">
      <c r="A12" s="131" t="s">
        <v>1413</v>
      </c>
      <c r="D12" s="132" t="s">
        <v>1096</v>
      </c>
      <c r="E12" s="112" t="s">
        <v>2044</v>
      </c>
    </row>
    <row r="13" spans="1:6">
      <c r="A13" s="131" t="s">
        <v>2046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6">
      <c r="A17" s="177"/>
    </row>
    <row r="18" spans="1:6">
      <c r="A18" s="158"/>
      <c r="B18" s="141"/>
      <c r="C18" s="2" t="s">
        <v>2041</v>
      </c>
      <c r="D18" s="111"/>
      <c r="E18" s="111"/>
      <c r="F18" s="111"/>
    </row>
    <row r="19" spans="1:6">
      <c r="A19" s="158"/>
      <c r="C19" s="110"/>
    </row>
    <row r="20" spans="1:6">
      <c r="A20" s="132" t="s">
        <v>2047</v>
      </c>
      <c r="C20" s="131" t="s">
        <v>2048</v>
      </c>
      <c r="F20" s="131">
        <v>2500</v>
      </c>
    </row>
    <row r="21" spans="1:6">
      <c r="A21" s="158"/>
    </row>
    <row r="22" spans="1:6">
      <c r="A22" s="158"/>
    </row>
    <row r="23" spans="1:6">
      <c r="A23" s="158"/>
      <c r="B23" s="158"/>
    </row>
    <row r="24" spans="1:6">
      <c r="A24" s="158"/>
      <c r="B24" s="158"/>
    </row>
    <row r="25" spans="1:6">
      <c r="A25" s="158"/>
      <c r="B25" s="158"/>
    </row>
    <row r="26" spans="1:6">
      <c r="A26" s="158"/>
      <c r="C26" s="200"/>
    </row>
    <row r="27" spans="1:6">
      <c r="A27" s="158"/>
      <c r="B27" s="141"/>
    </row>
    <row r="28" spans="1:6">
      <c r="A28" s="158"/>
    </row>
    <row r="29" spans="1:6">
      <c r="A29" s="158"/>
    </row>
    <row r="30" spans="1:6">
      <c r="A30" s="158"/>
    </row>
    <row r="31" spans="1:6">
      <c r="A31" s="158"/>
    </row>
    <row r="32" spans="1:6">
      <c r="A32" s="158"/>
      <c r="B32" s="141"/>
    </row>
    <row r="33" spans="1:6" ht="13.5" thickBot="1">
      <c r="A33" s="158"/>
      <c r="F33" s="137">
        <f>SUM(F20:F32)</f>
        <v>2500</v>
      </c>
    </row>
    <row r="34" spans="1:6" ht="13.5" thickTop="1">
      <c r="A34" s="158"/>
    </row>
    <row r="35" spans="1:6" ht="13.5" thickBot="1">
      <c r="A35" s="158"/>
      <c r="F35" s="137">
        <f>SUM(F18:F34)</f>
        <v>5000</v>
      </c>
    </row>
    <row r="36" spans="1:6" ht="13.5" thickTop="1">
      <c r="A36" s="177"/>
    </row>
    <row r="37" spans="1:6" ht="20.100000000000001" customHeight="1">
      <c r="A37" s="138" t="s">
        <v>1686</v>
      </c>
      <c r="B37" s="138" t="s">
        <v>1492</v>
      </c>
      <c r="C37" s="139"/>
      <c r="D37" s="139"/>
      <c r="E37" s="139"/>
      <c r="F37" s="139"/>
    </row>
    <row r="38" spans="1:6">
      <c r="A38" s="140"/>
    </row>
    <row r="39" spans="1:6" ht="25.5">
      <c r="A39" s="147" t="s">
        <v>10</v>
      </c>
      <c r="D39" s="265" t="s">
        <v>2894</v>
      </c>
      <c r="E39" s="266"/>
      <c r="F39" s="267"/>
    </row>
    <row r="42" spans="1:6">
      <c r="A42" s="131" t="s">
        <v>51</v>
      </c>
      <c r="C42" s="141"/>
    </row>
    <row r="43" spans="1:6">
      <c r="A43" s="142"/>
      <c r="B43" s="142"/>
    </row>
    <row r="45" spans="1:6">
      <c r="A45" s="131" t="s">
        <v>8</v>
      </c>
      <c r="D45" s="143" t="s">
        <v>7</v>
      </c>
      <c r="F45" s="144"/>
    </row>
    <row r="49" spans="1:6">
      <c r="A49" s="142" t="s">
        <v>51</v>
      </c>
      <c r="B49" s="142"/>
      <c r="D49" s="142"/>
      <c r="E49" s="142"/>
      <c r="F49" s="142"/>
    </row>
    <row r="50" spans="1:6" s="147" customFormat="1" ht="17.100000000000001" customHeight="1">
      <c r="A50" s="145" t="s">
        <v>2948</v>
      </c>
      <c r="B50" s="146"/>
      <c r="D50" s="147" t="s">
        <v>3</v>
      </c>
    </row>
    <row r="51" spans="1:6">
      <c r="D51" s="131" t="s">
        <v>2</v>
      </c>
    </row>
    <row r="53" spans="1:6">
      <c r="D53" s="110" t="s">
        <v>1</v>
      </c>
    </row>
    <row r="54" spans="1:6">
      <c r="D54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59055118110236227" bottom="0.78740157480314965" header="0.51181102362204722" footer="0.51181102362204722"/>
  <pageSetup paperSize="9" scale="90" orientation="portrait" r:id="rId1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Sheet201">
    <pageSetUpPr fitToPage="1"/>
  </sheetPr>
  <dimension ref="A1:G55"/>
  <sheetViews>
    <sheetView zoomScaleSheetLayoutView="100" workbookViewId="0">
      <selection activeCell="G9" sqref="G9:G13"/>
    </sheetView>
  </sheetViews>
  <sheetFormatPr defaultRowHeight="16.5"/>
  <cols>
    <col min="1" max="1" width="15.5703125" style="113" customWidth="1"/>
    <col min="2" max="2" width="17.28515625" style="113" customWidth="1"/>
    <col min="3" max="3" width="21" style="113" customWidth="1"/>
    <col min="4" max="4" width="13.140625" style="113" customWidth="1"/>
    <col min="5" max="5" width="8.7109375" style="113" customWidth="1"/>
    <col min="6" max="6" width="13.28515625" style="113" customWidth="1"/>
    <col min="7" max="7" width="16.140625" style="23" customWidth="1"/>
    <col min="8" max="16384" width="9.140625" style="23"/>
  </cols>
  <sheetData>
    <row r="1" spans="1:7" ht="15" customHeight="1">
      <c r="A1" s="528" t="s">
        <v>26</v>
      </c>
      <c r="B1" s="528"/>
      <c r="C1" s="528"/>
      <c r="D1" s="528"/>
      <c r="E1" s="528"/>
      <c r="F1" s="528"/>
    </row>
    <row r="2" spans="1:7" ht="12.75" customHeight="1">
      <c r="A2" s="530" t="s">
        <v>25</v>
      </c>
      <c r="B2" s="530"/>
      <c r="C2" s="530"/>
      <c r="D2" s="530"/>
      <c r="E2" s="530"/>
      <c r="F2" s="530"/>
    </row>
    <row r="3" spans="1:7" ht="12.75" customHeight="1">
      <c r="A3" s="530" t="s">
        <v>1480</v>
      </c>
      <c r="B3" s="530"/>
      <c r="C3" s="530"/>
      <c r="D3" s="530"/>
      <c r="E3" s="530"/>
      <c r="F3" s="530"/>
    </row>
    <row r="4" spans="1:7" ht="12.75" customHeight="1">
      <c r="A4" s="530" t="s">
        <v>1684</v>
      </c>
      <c r="B4" s="530"/>
      <c r="C4" s="530"/>
      <c r="D4" s="530"/>
      <c r="E4" s="530"/>
      <c r="F4" s="530"/>
    </row>
    <row r="5" spans="1:7" ht="12.75" customHeight="1">
      <c r="A5" s="111"/>
      <c r="B5" s="111"/>
      <c r="C5" s="111"/>
      <c r="D5" s="111"/>
      <c r="E5" s="111"/>
      <c r="F5" s="111"/>
    </row>
    <row r="6" spans="1:7" ht="12.75" customHeight="1">
      <c r="A6" s="111"/>
      <c r="B6" s="111"/>
      <c r="C6" s="111"/>
      <c r="D6" s="111"/>
      <c r="E6" s="111"/>
      <c r="F6" s="111"/>
    </row>
    <row r="7" spans="1:7" ht="12.75" customHeight="1">
      <c r="A7" s="111"/>
      <c r="B7" s="111"/>
      <c r="C7" s="111"/>
      <c r="D7" s="111"/>
      <c r="E7" s="111"/>
      <c r="F7" s="111"/>
    </row>
    <row r="8" spans="1:7" s="24" customFormat="1" ht="12.75" customHeight="1">
      <c r="A8" s="126" t="s">
        <v>24</v>
      </c>
      <c r="B8" s="126"/>
      <c r="C8" s="126"/>
      <c r="D8" s="178" t="s">
        <v>23</v>
      </c>
      <c r="E8" s="126"/>
      <c r="F8" s="126"/>
    </row>
    <row r="9" spans="1:7" s="24" customFormat="1" ht="12.75" customHeight="1">
      <c r="A9" s="126"/>
      <c r="B9" s="126"/>
      <c r="C9" s="126"/>
      <c r="D9" s="160" t="s">
        <v>1723</v>
      </c>
      <c r="E9" s="126" t="s">
        <v>1725</v>
      </c>
      <c r="F9" s="126"/>
    </row>
    <row r="10" spans="1:7" s="24" customFormat="1" ht="12.75" customHeight="1">
      <c r="A10" s="126" t="s">
        <v>1727</v>
      </c>
      <c r="B10" s="126"/>
      <c r="C10" s="126"/>
      <c r="D10" s="160" t="s">
        <v>1340</v>
      </c>
      <c r="E10" s="160" t="s">
        <v>1724</v>
      </c>
      <c r="F10" s="126"/>
    </row>
    <row r="11" spans="1:7" s="24" customFormat="1" ht="12.75" customHeight="1">
      <c r="A11" s="126" t="s">
        <v>1731</v>
      </c>
      <c r="B11" s="126"/>
      <c r="C11" s="126"/>
      <c r="D11" s="160" t="s">
        <v>1341</v>
      </c>
      <c r="E11" s="160" t="s">
        <v>1094</v>
      </c>
      <c r="F11" s="126"/>
    </row>
    <row r="12" spans="1:7" s="24" customFormat="1" ht="12.75" customHeight="1">
      <c r="A12" s="126" t="s">
        <v>1732</v>
      </c>
      <c r="B12" s="126"/>
      <c r="C12" s="126"/>
      <c r="D12" s="160" t="s">
        <v>1135</v>
      </c>
      <c r="E12" s="160" t="s">
        <v>1726</v>
      </c>
      <c r="F12" s="126"/>
    </row>
    <row r="13" spans="1:7" s="24" customFormat="1" ht="12.75" customHeight="1">
      <c r="A13" s="126" t="s">
        <v>1733</v>
      </c>
      <c r="B13" s="126"/>
      <c r="C13" s="126"/>
      <c r="D13" s="126"/>
      <c r="E13" s="126"/>
      <c r="F13" s="126"/>
    </row>
    <row r="14" spans="1:7" s="24" customFormat="1" ht="12.75" customHeight="1">
      <c r="A14" s="126" t="s">
        <v>1734</v>
      </c>
      <c r="B14" s="126"/>
      <c r="C14" s="126"/>
      <c r="D14" s="126"/>
      <c r="E14" s="126"/>
      <c r="F14" s="126"/>
    </row>
    <row r="15" spans="1:7" s="32" customFormat="1" ht="12.75" customHeight="1">
      <c r="A15" s="126"/>
      <c r="B15" s="126"/>
      <c r="C15" s="126"/>
      <c r="D15" s="126"/>
      <c r="E15" s="126"/>
      <c r="F15" s="126"/>
    </row>
    <row r="16" spans="1:7" s="32" customFormat="1">
      <c r="A16" s="129" t="s">
        <v>1122</v>
      </c>
      <c r="B16" s="129" t="s">
        <v>1098</v>
      </c>
      <c r="C16" s="19" t="s">
        <v>14</v>
      </c>
      <c r="D16" s="18"/>
      <c r="E16" s="129"/>
      <c r="F16" s="16" t="s">
        <v>13</v>
      </c>
      <c r="G16" s="179"/>
    </row>
    <row r="17" spans="1:7" s="32" customFormat="1" ht="12.75" customHeight="1">
      <c r="A17" s="180"/>
      <c r="B17" s="181"/>
      <c r="C17" s="182"/>
      <c r="D17" s="181"/>
      <c r="E17" s="183"/>
      <c r="F17" s="184"/>
      <c r="G17" s="179"/>
    </row>
    <row r="18" spans="1:7" s="24" customFormat="1" ht="12.75" customHeight="1">
      <c r="A18" s="185"/>
      <c r="B18" s="151"/>
      <c r="C18" s="15" t="s">
        <v>1330</v>
      </c>
      <c r="D18" s="126"/>
      <c r="E18" s="126"/>
      <c r="F18" s="126"/>
      <c r="G18" s="186"/>
    </row>
    <row r="19" spans="1:7" s="24" customFormat="1" ht="12.75" customHeight="1">
      <c r="C19" s="15"/>
      <c r="E19" s="126"/>
      <c r="F19" s="126"/>
      <c r="G19" s="186"/>
    </row>
    <row r="20" spans="1:7" s="24" customFormat="1" ht="12.75" customHeight="1">
      <c r="B20" s="126"/>
      <c r="C20" s="15" t="s">
        <v>1730</v>
      </c>
      <c r="D20" s="126"/>
      <c r="E20" s="126"/>
      <c r="F20" s="126"/>
      <c r="G20" s="126"/>
    </row>
    <row r="21" spans="1:7" s="24" customFormat="1" ht="12.75" customHeight="1">
      <c r="A21" s="185"/>
      <c r="B21" s="151"/>
      <c r="C21" s="126" t="s">
        <v>1728</v>
      </c>
      <c r="D21" s="126"/>
      <c r="E21" s="126"/>
      <c r="F21" s="126">
        <v>587.9</v>
      </c>
      <c r="G21" s="126"/>
    </row>
    <row r="22" spans="1:7" s="24" customFormat="1" ht="12.75" customHeight="1">
      <c r="A22" s="187"/>
      <c r="B22" s="151"/>
      <c r="C22" s="126" t="s">
        <v>1729</v>
      </c>
      <c r="D22" s="126"/>
      <c r="E22" s="126"/>
      <c r="F22" s="126"/>
      <c r="G22" s="126"/>
    </row>
    <row r="23" spans="1:7" s="24" customFormat="1" ht="12.75" customHeight="1">
      <c r="A23" s="187"/>
      <c r="B23" s="151"/>
      <c r="C23" s="126"/>
      <c r="D23" s="126"/>
      <c r="E23" s="126"/>
      <c r="F23" s="126"/>
      <c r="G23" s="126"/>
    </row>
    <row r="24" spans="1:7" s="24" customFormat="1" ht="12.75" customHeight="1">
      <c r="A24" s="187"/>
      <c r="B24" s="151"/>
      <c r="C24" s="126"/>
      <c r="D24" s="126"/>
      <c r="E24" s="126"/>
      <c r="F24" s="126"/>
      <c r="G24" s="126"/>
    </row>
    <row r="25" spans="1:7" s="24" customFormat="1" ht="12.75" customHeight="1">
      <c r="A25" s="187"/>
      <c r="B25" s="151"/>
      <c r="C25" s="126"/>
      <c r="D25" s="126"/>
      <c r="E25" s="126"/>
      <c r="F25" s="126"/>
      <c r="G25" s="126"/>
    </row>
    <row r="26" spans="1:7" ht="12.75" customHeight="1">
      <c r="A26" s="187"/>
      <c r="B26" s="151"/>
      <c r="C26" s="126"/>
      <c r="D26" s="111"/>
      <c r="E26" s="111"/>
      <c r="F26" s="111"/>
      <c r="G26" s="111"/>
    </row>
    <row r="27" spans="1:7" ht="12.75" customHeight="1">
      <c r="A27" s="111"/>
      <c r="B27" s="111"/>
      <c r="C27" s="126"/>
      <c r="D27" s="111"/>
      <c r="E27" s="111"/>
      <c r="F27" s="111"/>
      <c r="G27" s="111"/>
    </row>
    <row r="28" spans="1:7" ht="12.75" customHeight="1">
      <c r="A28" s="111"/>
      <c r="B28" s="111"/>
      <c r="C28" s="126"/>
      <c r="D28" s="111"/>
      <c r="E28" s="111"/>
      <c r="F28" s="111"/>
      <c r="G28" s="111"/>
    </row>
    <row r="29" spans="1:7" s="24" customFormat="1" ht="12.75" customHeight="1">
      <c r="A29" s="29"/>
      <c r="B29" s="29"/>
      <c r="C29" s="29"/>
      <c r="D29" s="29"/>
      <c r="E29" s="29"/>
      <c r="F29" s="29"/>
      <c r="G29" s="186"/>
    </row>
    <row r="30" spans="1:7" s="24" customFormat="1" ht="12.75" customHeight="1">
      <c r="A30" s="187"/>
      <c r="B30" s="151"/>
      <c r="C30" s="126"/>
      <c r="D30" s="126"/>
      <c r="E30" s="126"/>
      <c r="F30" s="126"/>
      <c r="G30" s="186"/>
    </row>
    <row r="31" spans="1:7" s="24" customFormat="1" ht="12.75" customHeight="1">
      <c r="A31" s="187"/>
      <c r="B31" s="151"/>
      <c r="C31" s="126"/>
      <c r="D31" s="126"/>
      <c r="E31" s="126"/>
      <c r="F31" s="126"/>
      <c r="G31" s="186"/>
    </row>
    <row r="32" spans="1:7" s="24" customFormat="1" ht="15.75" customHeight="1">
      <c r="A32" s="188"/>
      <c r="B32" s="189"/>
      <c r="C32" s="189"/>
      <c r="D32" s="189"/>
      <c r="E32" s="189"/>
      <c r="G32" s="186"/>
    </row>
    <row r="33" spans="1:7" s="24" customFormat="1" ht="12.75" customHeight="1" thickBot="1">
      <c r="A33" s="188"/>
      <c r="B33" s="189"/>
      <c r="C33" s="189"/>
      <c r="D33" s="189"/>
      <c r="E33" s="189"/>
      <c r="F33" s="190">
        <f>SUM(F20:F32)</f>
        <v>587.9</v>
      </c>
      <c r="G33" s="186"/>
    </row>
    <row r="34" spans="1:7" ht="20.100000000000001" customHeight="1" thickTop="1">
      <c r="A34" s="118" t="s">
        <v>1133</v>
      </c>
      <c r="B34" s="118" t="s">
        <v>1735</v>
      </c>
      <c r="C34" s="191"/>
      <c r="D34" s="191"/>
      <c r="E34" s="191"/>
      <c r="F34" s="191"/>
    </row>
    <row r="35" spans="1:7" ht="12.75" customHeight="1">
      <c r="A35" s="192"/>
    </row>
    <row r="36" spans="1:7" ht="12.75" customHeight="1"/>
    <row r="37" spans="1:7" ht="12.75" customHeight="1"/>
    <row r="38" spans="1:7" ht="12.75" customHeight="1">
      <c r="A38" s="113" t="s">
        <v>10</v>
      </c>
    </row>
    <row r="39" spans="1:7" ht="12.75" customHeight="1">
      <c r="A39" s="189"/>
      <c r="D39" s="265" t="s">
        <v>2894</v>
      </c>
      <c r="E39" s="266"/>
      <c r="F39" s="267"/>
    </row>
    <row r="40" spans="1:7" ht="12.75" customHeight="1">
      <c r="A40" s="193"/>
    </row>
    <row r="41" spans="1:7" ht="12.75" customHeight="1">
      <c r="A41" s="193"/>
      <c r="C41" s="170"/>
    </row>
    <row r="42" spans="1:7" ht="12.75" customHeight="1">
      <c r="A42" s="194"/>
      <c r="B42" s="195"/>
      <c r="F42" s="196"/>
    </row>
    <row r="43" spans="1:7" ht="12.75" customHeight="1">
      <c r="A43" s="193"/>
    </row>
    <row r="44" spans="1:7" ht="12.75" customHeight="1">
      <c r="A44" s="193" t="s">
        <v>8</v>
      </c>
      <c r="D44" s="193" t="s">
        <v>7</v>
      </c>
    </row>
    <row r="45" spans="1:7" ht="12.75" customHeight="1">
      <c r="A45" s="193"/>
    </row>
    <row r="46" spans="1:7" ht="12.75" customHeight="1">
      <c r="A46" s="193"/>
    </row>
    <row r="47" spans="1:7" s="24" customFormat="1" ht="12.75" customHeight="1">
      <c r="A47" s="193"/>
      <c r="B47" s="113"/>
      <c r="C47" s="113"/>
      <c r="D47" s="113"/>
      <c r="E47" s="189"/>
      <c r="F47" s="189"/>
    </row>
    <row r="48" spans="1:7" ht="12.75" customHeight="1">
      <c r="A48" s="194"/>
      <c r="B48" s="195"/>
      <c r="D48" s="195"/>
      <c r="E48" s="195"/>
      <c r="F48" s="195"/>
    </row>
    <row r="49" spans="1:4" ht="12.75" customHeight="1">
      <c r="A49" s="197" t="s">
        <v>4</v>
      </c>
      <c r="B49" s="198"/>
      <c r="C49" s="189"/>
      <c r="D49" s="189" t="s">
        <v>3</v>
      </c>
    </row>
    <row r="50" spans="1:4" ht="12.75" customHeight="1">
      <c r="A50" s="197" t="s">
        <v>2948</v>
      </c>
      <c r="D50" s="113" t="s">
        <v>2</v>
      </c>
    </row>
    <row r="51" spans="1:4" ht="12.75" customHeight="1"/>
    <row r="52" spans="1:4" ht="12.75" customHeight="1">
      <c r="D52" s="199" t="s">
        <v>1</v>
      </c>
    </row>
    <row r="53" spans="1:4" ht="12.75" customHeight="1">
      <c r="D53" s="199" t="s">
        <v>0</v>
      </c>
    </row>
    <row r="54" spans="1:4" ht="12.75" customHeight="1"/>
    <row r="55" spans="1:4" ht="12.75" customHeight="1"/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61968-D4EB-4A2D-A1C6-C540E47E7E28}">
  <sheetPr codeName="Sheet598">
    <pageSetUpPr fitToPage="1"/>
  </sheetPr>
  <dimension ref="A1:J54"/>
  <sheetViews>
    <sheetView topLeftCell="A10" workbookViewId="0">
      <selection activeCell="G9" sqref="G9:G13"/>
    </sheetView>
  </sheetViews>
  <sheetFormatPr defaultRowHeight="12.75"/>
  <cols>
    <col min="1" max="1" width="15.85546875" style="483" customWidth="1"/>
    <col min="2" max="2" width="12.140625" style="483" customWidth="1"/>
    <col min="3" max="3" width="0.5703125" style="483" customWidth="1"/>
    <col min="4" max="4" width="23" style="483" customWidth="1"/>
    <col min="5" max="5" width="1" style="483" customWidth="1"/>
    <col min="6" max="6" width="13.5703125" style="483" customWidth="1"/>
    <col min="7" max="7" width="9.5703125" style="483" customWidth="1"/>
    <col min="8" max="8" width="13" style="483" customWidth="1"/>
    <col min="9" max="16384" width="9.140625" style="483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483" t="s">
        <v>24</v>
      </c>
      <c r="F8" s="22" t="s">
        <v>23</v>
      </c>
    </row>
    <row r="9" spans="1:8">
      <c r="F9" s="484" t="s">
        <v>1090</v>
      </c>
      <c r="G9" s="489" t="s">
        <v>6541</v>
      </c>
    </row>
    <row r="10" spans="1:8">
      <c r="A10" s="483" t="s">
        <v>6384</v>
      </c>
      <c r="F10" s="484" t="s">
        <v>1340</v>
      </c>
      <c r="G10" s="489" t="s">
        <v>6542</v>
      </c>
    </row>
    <row r="11" spans="1:8">
      <c r="A11" s="483" t="s">
        <v>6385</v>
      </c>
      <c r="F11" s="484" t="s">
        <v>1341</v>
      </c>
      <c r="G11" s="489" t="s">
        <v>1094</v>
      </c>
    </row>
    <row r="12" spans="1:8">
      <c r="A12" s="483" t="s">
        <v>6386</v>
      </c>
      <c r="F12" s="484" t="s">
        <v>1135</v>
      </c>
      <c r="G12" s="486" t="s">
        <v>1270</v>
      </c>
    </row>
    <row r="13" spans="1:8">
      <c r="A13" s="483" t="s">
        <v>6387</v>
      </c>
    </row>
    <row r="16" spans="1:8" s="15" customFormat="1" ht="20.100000000000001" customHeight="1">
      <c r="A16" s="18" t="s">
        <v>1113</v>
      </c>
      <c r="B16" s="500" t="s">
        <v>1114</v>
      </c>
      <c r="C16" s="500"/>
      <c r="D16" s="533" t="s">
        <v>14</v>
      </c>
      <c r="E16" s="533"/>
      <c r="F16" s="533"/>
      <c r="G16" s="17"/>
      <c r="H16" s="16" t="s">
        <v>13</v>
      </c>
    </row>
    <row r="18" spans="1:10">
      <c r="A18" s="485"/>
      <c r="B18" s="485"/>
      <c r="C18" s="485"/>
      <c r="D18" s="482" t="s">
        <v>6188</v>
      </c>
      <c r="E18" s="482"/>
    </row>
    <row r="20" spans="1:10">
      <c r="A20" s="485" t="s">
        <v>11</v>
      </c>
      <c r="B20" s="121"/>
      <c r="C20" s="121"/>
      <c r="D20" s="483" t="s">
        <v>6388</v>
      </c>
      <c r="H20" s="483">
        <f>741.92*3.024005</f>
        <v>2243.5697895999997</v>
      </c>
      <c r="J20" s="508"/>
    </row>
    <row r="21" spans="1:10">
      <c r="A21" s="485"/>
      <c r="B21" s="485"/>
      <c r="C21" s="121"/>
      <c r="D21" s="483" t="s">
        <v>6389</v>
      </c>
    </row>
    <row r="22" spans="1:10">
      <c r="A22" s="485"/>
      <c r="B22" s="485"/>
      <c r="C22" s="485"/>
      <c r="E22" s="482"/>
    </row>
    <row r="23" spans="1:10">
      <c r="D23" s="483" t="s">
        <v>6543</v>
      </c>
    </row>
    <row r="24" spans="1:10">
      <c r="A24" s="485"/>
      <c r="B24" s="121"/>
      <c r="C24" s="121"/>
    </row>
    <row r="25" spans="1:10">
      <c r="A25" s="485"/>
      <c r="B25" s="485"/>
      <c r="C25" s="121"/>
      <c r="D25" s="483" t="s">
        <v>1697</v>
      </c>
      <c r="H25" s="483">
        <v>10</v>
      </c>
    </row>
    <row r="26" spans="1:10">
      <c r="A26" s="485"/>
      <c r="B26" s="121"/>
      <c r="C26" s="121"/>
    </row>
    <row r="35" spans="1:8" ht="13.5" thickBot="1">
      <c r="H35" s="117">
        <f>SUM(H18:H34)</f>
        <v>2253.5697895999997</v>
      </c>
    </row>
    <row r="36" spans="1:8" ht="13.5" thickTop="1"/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Thousand Two Hundred Fifty-Three and 57/100 -----------</v>
      </c>
      <c r="C37" s="202"/>
      <c r="D37" s="119"/>
      <c r="E37" s="119"/>
      <c r="F37" s="119"/>
      <c r="G37" s="119"/>
      <c r="H37" s="119"/>
    </row>
    <row r="38" spans="1:8">
      <c r="A38" s="486" t="s">
        <v>11</v>
      </c>
    </row>
    <row r="39" spans="1:8" ht="25.5">
      <c r="A39" s="483" t="s">
        <v>10</v>
      </c>
      <c r="F39" s="265" t="s">
        <v>2894</v>
      </c>
      <c r="G39" s="266" t="s">
        <v>3298</v>
      </c>
      <c r="H39" s="267"/>
    </row>
    <row r="41" spans="1:8">
      <c r="A41" s="126"/>
    </row>
    <row r="42" spans="1:8">
      <c r="D42" s="121"/>
      <c r="E42" s="121"/>
    </row>
    <row r="43" spans="1:8">
      <c r="A43" s="122"/>
      <c r="B43" s="122"/>
    </row>
    <row r="45" spans="1:8">
      <c r="A45" s="487" t="s">
        <v>8</v>
      </c>
      <c r="D45" s="487" t="s">
        <v>8</v>
      </c>
      <c r="F45" s="487" t="s">
        <v>7</v>
      </c>
      <c r="H45" s="124"/>
    </row>
    <row r="49" spans="1:8">
      <c r="A49" s="122"/>
      <c r="B49" s="122"/>
      <c r="D49" s="122"/>
      <c r="F49" s="122"/>
      <c r="G49" s="122"/>
      <c r="H49" s="122"/>
    </row>
    <row r="50" spans="1:8" s="126" customFormat="1" ht="17.100000000000001" customHeight="1">
      <c r="A50" s="483" t="s">
        <v>2948</v>
      </c>
      <c r="B50" s="125"/>
      <c r="C50" s="125"/>
      <c r="D50" s="483" t="s">
        <v>103</v>
      </c>
      <c r="F50" s="126" t="s">
        <v>3</v>
      </c>
    </row>
    <row r="51" spans="1:8">
      <c r="F51" s="483" t="s">
        <v>2</v>
      </c>
    </row>
    <row r="52" spans="1:8">
      <c r="A52" s="151"/>
    </row>
    <row r="53" spans="1:8">
      <c r="F53" s="482" t="s">
        <v>1</v>
      </c>
    </row>
    <row r="54" spans="1:8">
      <c r="F54" s="482" t="s">
        <v>0</v>
      </c>
    </row>
  </sheetData>
  <mergeCells count="5">
    <mergeCell ref="A1:H1"/>
    <mergeCell ref="A2:H2"/>
    <mergeCell ref="A3:H3"/>
    <mergeCell ref="A4:H4"/>
    <mergeCell ref="D16:F16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Sheet276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2189</v>
      </c>
      <c r="F9" s="111"/>
    </row>
    <row r="10" spans="1:6">
      <c r="A10" s="111" t="s">
        <v>1410</v>
      </c>
      <c r="B10" s="111"/>
      <c r="C10" s="111"/>
      <c r="D10" s="112" t="s">
        <v>1162</v>
      </c>
      <c r="E10" s="112" t="s">
        <v>2182</v>
      </c>
      <c r="F10" s="111"/>
    </row>
    <row r="11" spans="1:6">
      <c r="A11" s="111"/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1096</v>
      </c>
      <c r="E12" s="112" t="s">
        <v>2190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2"/>
      <c r="D18" s="111"/>
      <c r="E18" s="111"/>
      <c r="F18" s="111"/>
    </row>
    <row r="19" spans="1:6">
      <c r="B19" s="116"/>
      <c r="C19" s="111"/>
      <c r="D19" s="111"/>
      <c r="E19" s="111"/>
      <c r="F19" s="111"/>
    </row>
    <row r="20" spans="1:6">
      <c r="A20" s="111"/>
      <c r="B20" s="111"/>
      <c r="C20" s="111" t="s">
        <v>1416</v>
      </c>
      <c r="D20" s="111"/>
      <c r="E20" s="111"/>
      <c r="F20" s="111">
        <v>500</v>
      </c>
    </row>
    <row r="21" spans="1:6">
      <c r="A21" s="112"/>
      <c r="B21" s="111"/>
      <c r="C21" s="111"/>
      <c r="D21" s="111"/>
      <c r="E21" s="111"/>
      <c r="F21" s="111"/>
    </row>
    <row r="22" spans="1:6">
      <c r="A22" s="111"/>
      <c r="B22" s="111"/>
      <c r="C22" s="111" t="s">
        <v>2188</v>
      </c>
      <c r="D22" s="111"/>
      <c r="E22" s="111"/>
      <c r="F22" s="111"/>
    </row>
    <row r="23" spans="1:6">
      <c r="A23" s="111"/>
      <c r="B23" s="111"/>
      <c r="C23" s="111"/>
      <c r="D23" s="111"/>
      <c r="E23" s="111"/>
      <c r="F23" s="111"/>
    </row>
    <row r="24" spans="1:6">
      <c r="A24" s="111"/>
      <c r="B24" s="111"/>
      <c r="C24" s="111"/>
      <c r="D24" s="111"/>
      <c r="E24" s="111"/>
      <c r="F24" s="111"/>
    </row>
    <row r="25" spans="1:6">
      <c r="A25" s="111"/>
      <c r="B25" s="111"/>
      <c r="C25" s="111"/>
      <c r="D25" s="111"/>
      <c r="E25" s="111"/>
      <c r="F25" s="111"/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500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1284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Sheet202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2462</v>
      </c>
      <c r="F9" s="111"/>
    </row>
    <row r="10" spans="1:6">
      <c r="A10" s="111" t="s">
        <v>1765</v>
      </c>
      <c r="B10" s="111"/>
      <c r="C10" s="111"/>
      <c r="D10" s="112" t="s">
        <v>1162</v>
      </c>
      <c r="E10" s="112" t="s">
        <v>2449</v>
      </c>
      <c r="F10" s="111"/>
    </row>
    <row r="11" spans="1:6">
      <c r="A11" s="111" t="s">
        <v>1762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1763</v>
      </c>
      <c r="B12" s="111"/>
      <c r="C12" s="111"/>
      <c r="D12" s="112" t="s">
        <v>1135</v>
      </c>
      <c r="E12" s="112" t="s">
        <v>2463</v>
      </c>
      <c r="F12" s="111"/>
    </row>
    <row r="13" spans="1:6">
      <c r="A13" s="111" t="s">
        <v>1149</v>
      </c>
      <c r="B13" s="111"/>
      <c r="C13" s="111"/>
      <c r="D13" s="111"/>
      <c r="E13" s="111"/>
      <c r="F13" s="111"/>
    </row>
    <row r="14" spans="1:6">
      <c r="A14" s="111" t="s">
        <v>1764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B18" s="111"/>
      <c r="C18" s="2" t="s">
        <v>2460</v>
      </c>
      <c r="D18" s="111"/>
      <c r="E18" s="111"/>
      <c r="F18" s="111"/>
    </row>
    <row r="19" spans="1:6">
      <c r="B19" s="116"/>
      <c r="C19" s="2"/>
      <c r="D19" s="111"/>
      <c r="E19" s="111"/>
      <c r="F19" s="111"/>
    </row>
    <row r="20" spans="1:6">
      <c r="A20" s="111"/>
      <c r="B20" s="116"/>
      <c r="C20" s="111" t="s">
        <v>2452</v>
      </c>
      <c r="D20" s="111"/>
      <c r="E20" s="111"/>
      <c r="F20" s="111"/>
    </row>
    <row r="21" spans="1:6">
      <c r="A21" s="112"/>
      <c r="B21" s="120"/>
      <c r="C21" s="111" t="s">
        <v>2453</v>
      </c>
      <c r="D21" s="111"/>
      <c r="E21" s="111"/>
      <c r="F21" s="111">
        <f>100*56</f>
        <v>5600</v>
      </c>
    </row>
    <row r="22" spans="1:6">
      <c r="A22" s="112"/>
      <c r="B22" s="120"/>
      <c r="C22" s="111" t="s">
        <v>2454</v>
      </c>
      <c r="D22" s="111"/>
      <c r="E22" s="111"/>
      <c r="F22" s="111">
        <f>60*55</f>
        <v>3300</v>
      </c>
    </row>
    <row r="23" spans="1:6">
      <c r="A23" s="116"/>
      <c r="B23" s="120"/>
      <c r="C23" s="111" t="s">
        <v>2455</v>
      </c>
      <c r="D23" s="111"/>
      <c r="E23" s="111"/>
      <c r="F23" s="111">
        <f>20*26</f>
        <v>520</v>
      </c>
    </row>
    <row r="24" spans="1:6">
      <c r="C24" s="167" t="s">
        <v>2461</v>
      </c>
      <c r="D24" s="253"/>
      <c r="E24" s="253"/>
      <c r="F24" s="167">
        <v>-42</v>
      </c>
    </row>
    <row r="25" spans="1:6">
      <c r="A25" s="116"/>
      <c r="B25" s="120"/>
      <c r="D25" s="111"/>
      <c r="E25" s="111"/>
      <c r="F25" s="111"/>
    </row>
    <row r="26" spans="1:6">
      <c r="A26" s="116"/>
      <c r="B26" s="120"/>
      <c r="C26" s="111" t="s">
        <v>2456</v>
      </c>
      <c r="D26" s="111"/>
      <c r="E26" s="111"/>
      <c r="F26" s="111"/>
    </row>
    <row r="27" spans="1:6">
      <c r="A27" s="116"/>
      <c r="B27" s="120"/>
      <c r="C27" s="111" t="s">
        <v>2457</v>
      </c>
      <c r="D27" s="111"/>
      <c r="E27" s="111"/>
      <c r="F27" s="111">
        <f>100*24-80</f>
        <v>2320</v>
      </c>
    </row>
    <row r="28" spans="1:6">
      <c r="A28" s="116"/>
      <c r="B28" s="120"/>
      <c r="C28" s="111" t="s">
        <v>2454</v>
      </c>
      <c r="D28" s="111"/>
      <c r="E28" s="111"/>
      <c r="F28" s="111">
        <f>60*55</f>
        <v>3300</v>
      </c>
    </row>
    <row r="29" spans="1:6">
      <c r="A29" s="116"/>
      <c r="B29" s="120"/>
      <c r="C29" s="111" t="s">
        <v>2458</v>
      </c>
      <c r="D29" s="111"/>
      <c r="E29" s="111"/>
      <c r="F29" s="111">
        <f>20*18</f>
        <v>360</v>
      </c>
    </row>
    <row r="30" spans="1:6">
      <c r="A30" s="116"/>
      <c r="B30" s="120"/>
      <c r="C30" s="111"/>
      <c r="D30" s="111"/>
      <c r="E30" s="111"/>
      <c r="F30" s="111"/>
    </row>
    <row r="31" spans="1:6">
      <c r="A31" s="116"/>
      <c r="B31" s="120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15358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2459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B42" s="111"/>
      <c r="C42" s="111"/>
      <c r="D42" s="111"/>
      <c r="E42" s="111"/>
      <c r="F42" s="111"/>
    </row>
    <row r="43" spans="1:6">
      <c r="A43" s="123" t="s">
        <v>8</v>
      </c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Sheet193">
    <pageSetUpPr fitToPage="1"/>
  </sheetPr>
  <dimension ref="A1:F50"/>
  <sheetViews>
    <sheetView topLeftCell="A19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3.570312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1699</v>
      </c>
    </row>
    <row r="10" spans="1:6">
      <c r="A10" s="111" t="s">
        <v>1704</v>
      </c>
      <c r="D10" s="112" t="s">
        <v>1162</v>
      </c>
      <c r="E10" s="112" t="s">
        <v>1690</v>
      </c>
    </row>
    <row r="11" spans="1:6">
      <c r="A11" s="111" t="s">
        <v>1705</v>
      </c>
      <c r="D11" s="112" t="s">
        <v>1163</v>
      </c>
      <c r="E11" s="112" t="s">
        <v>1094</v>
      </c>
    </row>
    <row r="12" spans="1:6">
      <c r="D12" s="112" t="s">
        <v>1135</v>
      </c>
      <c r="E12" s="112" t="s">
        <v>1270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1694</v>
      </c>
    </row>
    <row r="19" spans="1:6">
      <c r="A19" s="161"/>
    </row>
    <row r="20" spans="1:6">
      <c r="A20" s="120" t="s">
        <v>1700</v>
      </c>
      <c r="B20" s="176" t="s">
        <v>1701</v>
      </c>
      <c r="C20" s="120" t="s">
        <v>106</v>
      </c>
      <c r="F20" s="111">
        <f>2758800*0.000346</f>
        <v>954.54480000000001</v>
      </c>
    </row>
    <row r="22" spans="1:6">
      <c r="C22" s="111" t="s">
        <v>1702</v>
      </c>
      <c r="F22" s="111">
        <f>7200000*0.000346</f>
        <v>2491.2000000000003</v>
      </c>
    </row>
    <row r="24" spans="1:6">
      <c r="C24" s="111" t="s">
        <v>1697</v>
      </c>
      <c r="F24" s="111">
        <v>20</v>
      </c>
    </row>
    <row r="27" spans="1:6">
      <c r="F27" s="2"/>
    </row>
    <row r="28" spans="1:6">
      <c r="B28" s="120"/>
    </row>
    <row r="29" spans="1:6">
      <c r="B29" s="120"/>
    </row>
    <row r="31" spans="1:6" ht="13.5" thickBot="1">
      <c r="F31" s="127">
        <f>SUM(F19:F30)</f>
        <v>3465.7448000000004</v>
      </c>
    </row>
    <row r="32" spans="1:6" ht="13.5" thickTop="1"/>
    <row r="33" spans="1:6" ht="20.100000000000001" customHeight="1" thickBot="1">
      <c r="A33" s="118" t="s">
        <v>1133</v>
      </c>
      <c r="B33" s="118" t="s">
        <v>1703</v>
      </c>
      <c r="C33" s="119"/>
      <c r="D33" s="119"/>
      <c r="E33" s="119"/>
      <c r="F33" s="117">
        <f>SUM(F20:F32)</f>
        <v>6931.4896000000008</v>
      </c>
    </row>
    <row r="34" spans="1:6" ht="13.5" thickTop="1">
      <c r="A34" s="120"/>
    </row>
    <row r="35" spans="1:6">
      <c r="A35" s="123" t="s">
        <v>10</v>
      </c>
    </row>
    <row r="36" spans="1:6">
      <c r="A36" s="123"/>
    </row>
    <row r="37" spans="1:6">
      <c r="A37" s="123"/>
    </row>
    <row r="38" spans="1:6">
      <c r="A38" s="123"/>
      <c r="C38" s="121"/>
    </row>
    <row r="39" spans="1:6" ht="25.5">
      <c r="A39" s="270"/>
      <c r="B39" s="122"/>
      <c r="D39" s="265" t="s">
        <v>2894</v>
      </c>
      <c r="E39" s="266"/>
      <c r="F39" s="267"/>
    </row>
    <row r="41" spans="1:6">
      <c r="A41" s="123" t="s">
        <v>8</v>
      </c>
      <c r="D41" s="123" t="s">
        <v>7</v>
      </c>
      <c r="F41" s="124"/>
    </row>
    <row r="42" spans="1:6">
      <c r="A42" s="123"/>
    </row>
    <row r="43" spans="1:6">
      <c r="A43" s="123"/>
    </row>
    <row r="44" spans="1:6">
      <c r="A44" s="123"/>
    </row>
    <row r="45" spans="1:6">
      <c r="A45" s="150"/>
      <c r="B45" s="122"/>
      <c r="D45" s="122"/>
      <c r="E45" s="122"/>
      <c r="F45" s="122"/>
    </row>
    <row r="46" spans="1:6" s="126" customFormat="1" ht="17.100000000000001" customHeight="1">
      <c r="A46" s="151" t="s">
        <v>4</v>
      </c>
      <c r="B46" s="125"/>
      <c r="D46" s="126" t="s">
        <v>3</v>
      </c>
    </row>
    <row r="47" spans="1:6">
      <c r="A47" s="123"/>
      <c r="D47" s="111" t="s">
        <v>2</v>
      </c>
    </row>
    <row r="48" spans="1:6">
      <c r="A48" s="123"/>
    </row>
    <row r="49" spans="1:4">
      <c r="D49" s="2" t="s">
        <v>1</v>
      </c>
    </row>
    <row r="50" spans="1:4">
      <c r="A50" s="151" t="s">
        <v>2948</v>
      </c>
      <c r="D50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Sheet195">
    <pageSetUpPr fitToPage="1"/>
  </sheetPr>
  <dimension ref="A1:F50"/>
  <sheetViews>
    <sheetView topLeftCell="A16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2479</v>
      </c>
    </row>
    <row r="10" spans="1:6">
      <c r="A10" s="111" t="s">
        <v>1649</v>
      </c>
      <c r="D10" s="112" t="s">
        <v>1162</v>
      </c>
      <c r="E10" s="112" t="s">
        <v>2472</v>
      </c>
    </row>
    <row r="11" spans="1:6">
      <c r="A11" s="111" t="s">
        <v>1650</v>
      </c>
      <c r="D11" s="112" t="s">
        <v>1163</v>
      </c>
      <c r="E11" s="112" t="s">
        <v>1094</v>
      </c>
    </row>
    <row r="12" spans="1:6">
      <c r="A12" s="111" t="s">
        <v>1651</v>
      </c>
      <c r="D12" s="112" t="s">
        <v>1135</v>
      </c>
      <c r="E12" s="112" t="s">
        <v>2480</v>
      </c>
    </row>
    <row r="13" spans="1:6">
      <c r="A13" s="111" t="s">
        <v>1652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61" t="s">
        <v>2481</v>
      </c>
      <c r="B18" s="116" t="s">
        <v>2484</v>
      </c>
      <c r="C18" s="111" t="s">
        <v>2163</v>
      </c>
      <c r="F18" s="111">
        <f>10*4.7</f>
        <v>47</v>
      </c>
    </row>
    <row r="19" spans="1:6">
      <c r="C19" s="111" t="s">
        <v>2483</v>
      </c>
    </row>
    <row r="21" spans="1:6">
      <c r="A21" s="161"/>
      <c r="B21" s="116"/>
      <c r="C21" s="2" t="s">
        <v>2485</v>
      </c>
    </row>
    <row r="23" spans="1:6">
      <c r="A23" s="116" t="s">
        <v>2481</v>
      </c>
      <c r="B23" s="121" t="s">
        <v>2482</v>
      </c>
      <c r="C23" s="111" t="s">
        <v>2486</v>
      </c>
      <c r="F23" s="111">
        <f>7*300</f>
        <v>2100</v>
      </c>
    </row>
    <row r="24" spans="1:6">
      <c r="A24" s="161"/>
      <c r="B24" s="116"/>
    </row>
    <row r="25" spans="1:6">
      <c r="A25" s="161"/>
      <c r="B25" s="116"/>
      <c r="C25" s="111" t="s">
        <v>2487</v>
      </c>
      <c r="F25" s="111">
        <v>120</v>
      </c>
    </row>
    <row r="27" spans="1:6">
      <c r="A27" s="161"/>
      <c r="B27" s="116"/>
    </row>
    <row r="28" spans="1:6">
      <c r="A28" s="161"/>
      <c r="B28" s="116"/>
    </row>
    <row r="29" spans="1:6">
      <c r="B29" s="120"/>
    </row>
    <row r="31" spans="1:6" ht="13.5" thickBot="1">
      <c r="F31" s="127">
        <f>SUM(F18:F30)</f>
        <v>2267</v>
      </c>
    </row>
    <row r="32" spans="1:6" ht="13.5" thickTop="1"/>
    <row r="33" spans="1:6" ht="20.100000000000001" customHeight="1" thickBot="1">
      <c r="A33" s="118" t="s">
        <v>1133</v>
      </c>
      <c r="B33" s="202" t="s">
        <v>2488</v>
      </c>
      <c r="C33" s="119"/>
      <c r="D33" s="119"/>
      <c r="E33" s="119"/>
      <c r="F33" s="117">
        <f>SUM(F20:F32)</f>
        <v>4487</v>
      </c>
    </row>
    <row r="34" spans="1:6" ht="13.5" thickTop="1">
      <c r="A34" s="120"/>
    </row>
    <row r="35" spans="1:6">
      <c r="A35" s="123" t="s">
        <v>10</v>
      </c>
    </row>
    <row r="36" spans="1:6">
      <c r="A36" s="123"/>
    </row>
    <row r="37" spans="1:6">
      <c r="A37" s="123"/>
    </row>
    <row r="38" spans="1:6">
      <c r="A38" s="123"/>
      <c r="C38" s="121"/>
    </row>
    <row r="39" spans="1:6" ht="25.5">
      <c r="A39" s="270"/>
      <c r="B39" s="122"/>
      <c r="D39" s="265" t="s">
        <v>2894</v>
      </c>
      <c r="E39" s="266"/>
      <c r="F39" s="267"/>
    </row>
    <row r="41" spans="1:6">
      <c r="A41" s="123" t="s">
        <v>8</v>
      </c>
      <c r="D41" s="123" t="s">
        <v>7</v>
      </c>
      <c r="F41" s="124"/>
    </row>
    <row r="42" spans="1:6">
      <c r="A42" s="123"/>
    </row>
    <row r="43" spans="1:6">
      <c r="A43" s="123"/>
    </row>
    <row r="44" spans="1:6">
      <c r="A44" s="123"/>
    </row>
    <row r="45" spans="1:6">
      <c r="A45" s="150"/>
      <c r="B45" s="122"/>
      <c r="D45" s="122"/>
      <c r="E45" s="122"/>
      <c r="F45" s="122"/>
    </row>
    <row r="46" spans="1:6" s="126" customFormat="1" ht="17.100000000000001" customHeight="1">
      <c r="A46" s="151" t="s">
        <v>4</v>
      </c>
      <c r="B46" s="125"/>
      <c r="D46" s="126" t="s">
        <v>3</v>
      </c>
    </row>
    <row r="47" spans="1:6">
      <c r="A47" s="123"/>
      <c r="D47" s="111" t="s">
        <v>2</v>
      </c>
    </row>
    <row r="48" spans="1:6">
      <c r="A48" s="123"/>
    </row>
    <row r="49" spans="1:4">
      <c r="D49" s="2" t="s">
        <v>1</v>
      </c>
    </row>
    <row r="50" spans="1:4">
      <c r="A50" s="151" t="s">
        <v>2948</v>
      </c>
      <c r="D50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Sheet163">
    <pageSetUpPr fitToPage="1"/>
  </sheetPr>
  <dimension ref="A1:F50"/>
  <sheetViews>
    <sheetView topLeftCell="A4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2465</v>
      </c>
    </row>
    <row r="10" spans="1:6">
      <c r="A10" s="111" t="s">
        <v>1645</v>
      </c>
      <c r="D10" s="112" t="s">
        <v>1162</v>
      </c>
      <c r="E10" s="123" t="s">
        <v>2464</v>
      </c>
    </row>
    <row r="11" spans="1:6">
      <c r="A11" s="111" t="s">
        <v>2467</v>
      </c>
      <c r="D11" s="112" t="s">
        <v>1163</v>
      </c>
      <c r="E11" s="112" t="s">
        <v>1094</v>
      </c>
    </row>
    <row r="12" spans="1:6">
      <c r="A12" s="111" t="s">
        <v>1646</v>
      </c>
      <c r="D12" s="112" t="s">
        <v>1135</v>
      </c>
      <c r="E12" s="120" t="s">
        <v>2466</v>
      </c>
    </row>
    <row r="13" spans="1:6">
      <c r="A13" s="111" t="s">
        <v>1647</v>
      </c>
    </row>
    <row r="14" spans="1:6">
      <c r="A14" s="111" t="s">
        <v>1287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2468</v>
      </c>
    </row>
    <row r="19" spans="1:6">
      <c r="A19" s="161"/>
      <c r="B19" s="116"/>
    </row>
    <row r="20" spans="1:6">
      <c r="A20" s="161" t="s">
        <v>2469</v>
      </c>
      <c r="B20" s="116"/>
      <c r="C20" s="111" t="s">
        <v>2470</v>
      </c>
    </row>
    <row r="21" spans="1:6">
      <c r="C21" s="111" t="s">
        <v>2471</v>
      </c>
      <c r="F21" s="111">
        <f>30*40</f>
        <v>1200</v>
      </c>
    </row>
    <row r="27" spans="1:6">
      <c r="F27" s="2"/>
    </row>
    <row r="28" spans="1:6">
      <c r="B28" s="120"/>
    </row>
    <row r="29" spans="1:6">
      <c r="B29" s="120"/>
    </row>
    <row r="31" spans="1:6" ht="13.5" thickBot="1">
      <c r="F31" s="127">
        <f>SUM(F19:F30)</f>
        <v>1200</v>
      </c>
    </row>
    <row r="32" spans="1:6" ht="13.5" thickTop="1"/>
    <row r="33" spans="1:6" ht="20.100000000000001" customHeight="1" thickBot="1">
      <c r="A33" s="118" t="s">
        <v>1133</v>
      </c>
      <c r="B33" s="202" t="s">
        <v>2180</v>
      </c>
      <c r="C33" s="119"/>
      <c r="D33" s="119"/>
      <c r="E33" s="119"/>
      <c r="F33" s="117">
        <f>SUM(F20:F32)</f>
        <v>2400</v>
      </c>
    </row>
    <row r="34" spans="1:6" ht="13.5" thickTop="1">
      <c r="A34" s="120"/>
    </row>
    <row r="35" spans="1:6">
      <c r="A35" s="123" t="s">
        <v>10</v>
      </c>
    </row>
    <row r="36" spans="1:6">
      <c r="A36" s="123"/>
    </row>
    <row r="37" spans="1:6">
      <c r="A37" s="123"/>
    </row>
    <row r="38" spans="1:6">
      <c r="A38" s="123"/>
      <c r="C38" s="121"/>
    </row>
    <row r="39" spans="1:6" ht="25.5">
      <c r="A39" s="270"/>
      <c r="B39" s="122"/>
      <c r="D39" s="265" t="s">
        <v>2894</v>
      </c>
      <c r="E39" s="266"/>
      <c r="F39" s="267"/>
    </row>
    <row r="41" spans="1:6">
      <c r="A41" s="123" t="s">
        <v>8</v>
      </c>
      <c r="D41" s="123" t="s">
        <v>7</v>
      </c>
      <c r="F41" s="124"/>
    </row>
    <row r="42" spans="1:6">
      <c r="A42" s="123"/>
    </row>
    <row r="43" spans="1:6">
      <c r="A43" s="123"/>
    </row>
    <row r="44" spans="1:6">
      <c r="A44" s="123"/>
    </row>
    <row r="45" spans="1:6">
      <c r="A45" s="150"/>
      <c r="B45" s="122"/>
      <c r="D45" s="122"/>
      <c r="E45" s="122"/>
      <c r="F45" s="122"/>
    </row>
    <row r="46" spans="1:6" s="126" customFormat="1" ht="17.100000000000001" customHeight="1">
      <c r="A46" s="151" t="s">
        <v>4</v>
      </c>
      <c r="B46" s="125"/>
      <c r="D46" s="126" t="s">
        <v>3</v>
      </c>
    </row>
    <row r="47" spans="1:6">
      <c r="A47" s="123"/>
      <c r="D47" s="111" t="s">
        <v>2</v>
      </c>
    </row>
    <row r="48" spans="1:6">
      <c r="A48" s="123"/>
    </row>
    <row r="49" spans="1:4">
      <c r="D49" s="2" t="s">
        <v>1</v>
      </c>
    </row>
    <row r="50" spans="1:4">
      <c r="A50" s="151" t="s">
        <v>2948</v>
      </c>
      <c r="D50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Sheet164">
    <pageSetUpPr fitToPage="1"/>
  </sheetPr>
  <dimension ref="A1:H52"/>
  <sheetViews>
    <sheetView workbookViewId="0">
      <selection activeCell="G9" sqref="G9:G13"/>
    </sheetView>
  </sheetViews>
  <sheetFormatPr defaultRowHeight="12.75"/>
  <cols>
    <col min="1" max="1" width="15.28515625" style="111" customWidth="1"/>
    <col min="2" max="2" width="14.42578125" style="111" customWidth="1"/>
    <col min="3" max="3" width="1.42578125" style="111" customWidth="1"/>
    <col min="4" max="4" width="22.42578125" style="111" customWidth="1"/>
    <col min="5" max="5" width="1.140625" style="111" customWidth="1"/>
    <col min="6" max="6" width="13.140625" style="111" customWidth="1"/>
    <col min="7" max="7" width="8.85546875" style="111" customWidth="1"/>
    <col min="8" max="8" width="13.710937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11" t="s">
        <v>5502</v>
      </c>
    </row>
    <row r="10" spans="1:8">
      <c r="A10" s="111" t="s">
        <v>1551</v>
      </c>
      <c r="F10" s="112" t="s">
        <v>1180</v>
      </c>
      <c r="G10" s="112" t="s">
        <v>5503</v>
      </c>
    </row>
    <row r="11" spans="1:8">
      <c r="F11" s="112" t="s">
        <v>1181</v>
      </c>
      <c r="G11" s="112" t="s">
        <v>4365</v>
      </c>
    </row>
    <row r="12" spans="1:8">
      <c r="F12" s="112" t="s">
        <v>1182</v>
      </c>
      <c r="G12" s="112" t="s">
        <v>5504</v>
      </c>
    </row>
    <row r="16" spans="1:8" s="15" customFormat="1" ht="20.100000000000001" customHeight="1">
      <c r="A16" s="18" t="s">
        <v>15</v>
      </c>
      <c r="B16" s="18"/>
      <c r="C16" s="18"/>
      <c r="D16" s="19" t="s">
        <v>14</v>
      </c>
      <c r="E16" s="19"/>
      <c r="F16" s="18"/>
      <c r="G16" s="17"/>
      <c r="H16" s="16" t="s">
        <v>13</v>
      </c>
    </row>
    <row r="18" spans="1:8">
      <c r="A18" s="148"/>
      <c r="D18" s="2"/>
      <c r="E18" s="2"/>
    </row>
    <row r="19" spans="1:8">
      <c r="A19" s="148"/>
      <c r="D19" s="111" t="s">
        <v>5505</v>
      </c>
      <c r="H19" s="111">
        <f>2856.91-10.5</f>
        <v>2846.41</v>
      </c>
    </row>
    <row r="20" spans="1:8">
      <c r="A20" s="159"/>
    </row>
    <row r="21" spans="1:8">
      <c r="A21" s="112"/>
      <c r="B21" s="161"/>
      <c r="C21" s="161"/>
      <c r="H21" s="149"/>
    </row>
    <row r="22" spans="1:8">
      <c r="A22" s="148"/>
      <c r="H22" s="149"/>
    </row>
    <row r="23" spans="1:8">
      <c r="A23" s="148"/>
      <c r="B23" s="157"/>
      <c r="C23" s="157"/>
      <c r="H23" s="149"/>
    </row>
    <row r="24" spans="1:8">
      <c r="A24" s="148"/>
      <c r="B24" s="157"/>
      <c r="C24" s="157"/>
      <c r="H24" s="149"/>
    </row>
    <row r="25" spans="1:8">
      <c r="A25" s="148"/>
      <c r="B25" s="157"/>
      <c r="C25" s="157"/>
      <c r="H25" s="149"/>
    </row>
    <row r="26" spans="1:8">
      <c r="A26" s="148"/>
      <c r="B26" s="120"/>
      <c r="C26" s="120"/>
    </row>
    <row r="27" spans="1:8">
      <c r="A27" s="148"/>
    </row>
    <row r="28" spans="1:8">
      <c r="A28" s="148"/>
    </row>
    <row r="33" spans="1:8" ht="13.5" thickBot="1">
      <c r="H33" s="127">
        <f>SUM(H19:H32)</f>
        <v>2846.41</v>
      </c>
    </row>
    <row r="34" spans="1:8" ht="13.5" thickTop="1"/>
    <row r="35" spans="1:8" ht="20.100000000000001" customHeight="1">
      <c r="A35" s="118" t="s">
        <v>204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Two Thousand Eight Hundred Forty-Six and 41/100 -----------</v>
      </c>
      <c r="C35" s="118"/>
      <c r="D35" s="119"/>
      <c r="E35" s="119"/>
      <c r="F35" s="119"/>
      <c r="G35" s="119"/>
      <c r="H35" s="119"/>
    </row>
    <row r="36" spans="1:8">
      <c r="A36" s="120" t="s">
        <v>11</v>
      </c>
    </row>
    <row r="37" spans="1:8" ht="25.5">
      <c r="A37" s="111" t="s">
        <v>10</v>
      </c>
      <c r="F37" s="265" t="s">
        <v>2894</v>
      </c>
      <c r="G37" s="266"/>
      <c r="H37" s="267"/>
    </row>
    <row r="39" spans="1:8">
      <c r="A39" s="126"/>
    </row>
    <row r="40" spans="1:8">
      <c r="A40" s="111" t="s">
        <v>52</v>
      </c>
      <c r="D40" s="121"/>
      <c r="E40" s="121"/>
    </row>
    <row r="41" spans="1:8">
      <c r="A41" s="122"/>
      <c r="B41" s="122"/>
    </row>
    <row r="43" spans="1:8">
      <c r="A43" s="123" t="s">
        <v>8</v>
      </c>
      <c r="D43" s="123" t="s">
        <v>8</v>
      </c>
      <c r="F43" s="123" t="s">
        <v>7</v>
      </c>
      <c r="H43" s="124"/>
    </row>
    <row r="47" spans="1:8">
      <c r="A47" s="122" t="s">
        <v>51</v>
      </c>
      <c r="B47" s="122"/>
      <c r="D47" s="122" t="s">
        <v>51</v>
      </c>
      <c r="F47" s="122"/>
      <c r="G47" s="122"/>
      <c r="H47" s="122"/>
    </row>
    <row r="48" spans="1:8" s="126" customFormat="1" ht="17.100000000000001" customHeight="1">
      <c r="A48" s="151" t="s">
        <v>2948</v>
      </c>
      <c r="B48" s="125"/>
      <c r="C48" s="125"/>
      <c r="D48" s="151" t="s">
        <v>103</v>
      </c>
      <c r="F48" s="126" t="s">
        <v>3</v>
      </c>
    </row>
    <row r="49" spans="1:6">
      <c r="F49" s="111" t="s">
        <v>2</v>
      </c>
    </row>
    <row r="50" spans="1:6">
      <c r="A50" s="151"/>
    </row>
    <row r="51" spans="1:6">
      <c r="F51" s="2" t="s">
        <v>1</v>
      </c>
    </row>
    <row r="52" spans="1:6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Sheet165">
    <pageSetUpPr fitToPage="1"/>
  </sheetPr>
  <dimension ref="A1:F52"/>
  <sheetViews>
    <sheetView topLeftCell="A25" workbookViewId="0">
      <selection activeCell="G9" sqref="G9:G13"/>
    </sheetView>
  </sheetViews>
  <sheetFormatPr defaultRowHeight="12.75"/>
  <cols>
    <col min="1" max="1" width="15.28515625" style="111" customWidth="1"/>
    <col min="2" max="2" width="14.42578125" style="111" customWidth="1"/>
    <col min="3" max="3" width="22.42578125" style="111" customWidth="1"/>
    <col min="4" max="4" width="13.140625" style="111" customWidth="1"/>
    <col min="5" max="5" width="8.855468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3105</v>
      </c>
    </row>
    <row r="10" spans="1:6">
      <c r="A10" s="111" t="s">
        <v>1610</v>
      </c>
      <c r="D10" s="112" t="s">
        <v>1180</v>
      </c>
      <c r="E10" s="111" t="s">
        <v>3104</v>
      </c>
    </row>
    <row r="11" spans="1:6">
      <c r="A11" s="111" t="s">
        <v>1611</v>
      </c>
      <c r="D11" s="112" t="s">
        <v>1181</v>
      </c>
      <c r="E11" s="111" t="s">
        <v>1094</v>
      </c>
    </row>
    <row r="12" spans="1:6">
      <c r="D12" s="112" t="s">
        <v>1182</v>
      </c>
      <c r="E12" s="120" t="s">
        <v>3106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8" spans="1:6">
      <c r="A18" s="148"/>
      <c r="C18" s="2" t="s">
        <v>3107</v>
      </c>
    </row>
    <row r="19" spans="1:6">
      <c r="A19" s="148"/>
      <c r="C19" s="2"/>
    </row>
    <row r="20" spans="1:6">
      <c r="A20" s="206" t="s">
        <v>3109</v>
      </c>
      <c r="C20" s="111" t="s">
        <v>2356</v>
      </c>
      <c r="F20" s="111">
        <v>1500</v>
      </c>
    </row>
    <row r="21" spans="1:6">
      <c r="A21" s="112"/>
      <c r="B21" s="161"/>
      <c r="C21" s="111" t="s">
        <v>3108</v>
      </c>
      <c r="F21" s="149"/>
    </row>
    <row r="22" spans="1:6">
      <c r="A22" s="148"/>
      <c r="F22" s="149"/>
    </row>
    <row r="23" spans="1:6">
      <c r="A23" s="148"/>
      <c r="B23" s="157"/>
      <c r="C23" s="2" t="s">
        <v>3110</v>
      </c>
      <c r="F23" s="149"/>
    </row>
    <row r="24" spans="1:6">
      <c r="B24" s="157"/>
      <c r="F24" s="149"/>
    </row>
    <row r="25" spans="1:6">
      <c r="A25" s="206" t="s">
        <v>3109</v>
      </c>
      <c r="B25" s="157"/>
      <c r="C25" s="111" t="s">
        <v>3111</v>
      </c>
      <c r="F25" s="149">
        <v>1500</v>
      </c>
    </row>
    <row r="26" spans="1:6">
      <c r="A26" s="148"/>
      <c r="B26" s="120"/>
      <c r="C26" s="120" t="s">
        <v>3112</v>
      </c>
    </row>
    <row r="27" spans="1:6">
      <c r="A27" s="148"/>
    </row>
    <row r="28" spans="1:6">
      <c r="A28" s="148"/>
    </row>
    <row r="33" spans="1:6" ht="13.5" thickBot="1">
      <c r="F33" s="127">
        <f>SUM(F20:F32)</f>
        <v>3000</v>
      </c>
    </row>
    <row r="34" spans="1:6" ht="13.5" thickTop="1"/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Three Thousand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Sheet166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2.140625" style="111" customWidth="1"/>
    <col min="3" max="3" width="23" style="111" customWidth="1"/>
    <col min="4" max="4" width="13.5703125" style="111" customWidth="1"/>
    <col min="5" max="5" width="9.5703125" style="111" customWidth="1"/>
    <col min="6" max="6" width="13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1090</v>
      </c>
      <c r="E9" s="111" t="s">
        <v>1599</v>
      </c>
    </row>
    <row r="10" spans="1:6">
      <c r="A10" s="111" t="s">
        <v>1601</v>
      </c>
      <c r="D10" s="112" t="s">
        <v>1340</v>
      </c>
      <c r="E10" s="112" t="s">
        <v>1586</v>
      </c>
    </row>
    <row r="11" spans="1:6">
      <c r="A11" s="120" t="s">
        <v>1602</v>
      </c>
      <c r="D11" s="112" t="s">
        <v>1341</v>
      </c>
      <c r="E11" s="112" t="s">
        <v>1094</v>
      </c>
    </row>
    <row r="12" spans="1:6">
      <c r="A12" s="111" t="s">
        <v>1603</v>
      </c>
      <c r="D12" s="112" t="s">
        <v>1135</v>
      </c>
      <c r="E12" s="112" t="s">
        <v>1600</v>
      </c>
    </row>
    <row r="13" spans="1:6">
      <c r="A13" s="111" t="s">
        <v>1577</v>
      </c>
    </row>
    <row r="14" spans="1:6">
      <c r="A14" s="111" t="s">
        <v>1604</v>
      </c>
    </row>
    <row r="15" spans="1:6">
      <c r="A15" s="111" t="s">
        <v>1605</v>
      </c>
    </row>
    <row r="16" spans="1:6" s="15" customFormat="1" ht="20.100000000000001" customHeight="1">
      <c r="A16" s="18" t="s">
        <v>1113</v>
      </c>
      <c r="B16" s="129" t="s">
        <v>1114</v>
      </c>
      <c r="C16" s="533" t="s">
        <v>14</v>
      </c>
      <c r="D16" s="533"/>
      <c r="E16" s="17"/>
      <c r="F16" s="16" t="s">
        <v>13</v>
      </c>
    </row>
    <row r="19" spans="1:6">
      <c r="A19" s="116" t="s">
        <v>1606</v>
      </c>
      <c r="B19" s="116" t="s">
        <v>1607</v>
      </c>
      <c r="C19" s="111" t="s">
        <v>1608</v>
      </c>
      <c r="F19" s="111">
        <v>817.88</v>
      </c>
    </row>
    <row r="33" spans="1:6" ht="13.5" thickBot="1">
      <c r="F33" s="117">
        <f>SUM(F20:F32)</f>
        <v>0</v>
      </c>
    </row>
    <row r="34" spans="1:6" ht="13.5" thickTop="1"/>
    <row r="35" spans="1:6" ht="20.100000000000001" customHeight="1">
      <c r="A35" s="118" t="s">
        <v>1133</v>
      </c>
      <c r="B35" s="118" t="s">
        <v>1609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5">
    <mergeCell ref="C16:D16"/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Sheet168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1.7109375" style="1" customWidth="1"/>
    <col min="4" max="4" width="23" style="1" customWidth="1"/>
    <col min="5" max="5" width="1" style="1" customWidth="1"/>
    <col min="6" max="6" width="15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32" t="s">
        <v>6244</v>
      </c>
      <c r="H9" s="111"/>
    </row>
    <row r="10" spans="1:8">
      <c r="A10" s="111" t="s">
        <v>4129</v>
      </c>
      <c r="B10" s="111"/>
      <c r="C10" s="111"/>
      <c r="D10" s="111"/>
      <c r="E10" s="111"/>
      <c r="F10" s="112" t="s">
        <v>1162</v>
      </c>
      <c r="G10" s="132" t="s">
        <v>6230</v>
      </c>
      <c r="H10" s="111"/>
    </row>
    <row r="11" spans="1:8">
      <c r="A11" s="111" t="s">
        <v>4130</v>
      </c>
      <c r="B11" s="111"/>
      <c r="C11" s="111"/>
      <c r="D11" s="111"/>
      <c r="E11" s="111"/>
      <c r="F11" s="112" t="s">
        <v>1163</v>
      </c>
      <c r="G11" s="132" t="s">
        <v>1094</v>
      </c>
      <c r="H11" s="111"/>
    </row>
    <row r="12" spans="1:8">
      <c r="A12" s="111" t="s">
        <v>4131</v>
      </c>
      <c r="B12" s="111"/>
      <c r="C12" s="111"/>
      <c r="D12" s="111"/>
      <c r="E12" s="111"/>
      <c r="F12" s="112" t="s">
        <v>1096</v>
      </c>
      <c r="G12" s="120" t="s">
        <v>6245</v>
      </c>
      <c r="H12" s="111"/>
    </row>
    <row r="13" spans="1:8">
      <c r="A13" s="111" t="s">
        <v>4132</v>
      </c>
      <c r="B13" s="111"/>
      <c r="C13" s="111"/>
      <c r="D13" s="111"/>
      <c r="E13" s="111"/>
      <c r="F13" s="111"/>
      <c r="G13" s="13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168" t="s">
        <v>3125</v>
      </c>
      <c r="E18" s="168"/>
      <c r="F18" s="111"/>
      <c r="G18" s="111"/>
      <c r="H18" s="111"/>
    </row>
    <row r="19" spans="1:8">
      <c r="B19" s="116"/>
      <c r="C19" s="116"/>
      <c r="F19" s="111"/>
      <c r="G19" s="111"/>
      <c r="H19" s="111"/>
    </row>
    <row r="20" spans="1:8">
      <c r="A20" s="255" t="s">
        <v>6246</v>
      </c>
      <c r="B20" s="116" t="s">
        <v>6247</v>
      </c>
      <c r="C20" s="116"/>
      <c r="D20" s="120" t="s">
        <v>4133</v>
      </c>
      <c r="E20" s="120"/>
      <c r="F20" s="111"/>
      <c r="G20" s="111"/>
      <c r="H20" s="111">
        <v>16000</v>
      </c>
    </row>
    <row r="21" spans="1:8">
      <c r="A21" s="112"/>
      <c r="B21" s="111"/>
      <c r="C21" s="111"/>
      <c r="D21" s="111" t="s">
        <v>6248</v>
      </c>
      <c r="E21" s="111"/>
      <c r="F21" s="111"/>
      <c r="G21" s="111"/>
      <c r="H21" s="111"/>
    </row>
    <row r="22" spans="1:8">
      <c r="A22" s="111"/>
      <c r="B22" s="111"/>
      <c r="C22" s="111"/>
      <c r="D22" s="111" t="s">
        <v>5175</v>
      </c>
      <c r="E22" s="111"/>
      <c r="F22" s="111"/>
      <c r="G22" s="111"/>
      <c r="H22" s="111">
        <f>H20*6%</f>
        <v>960</v>
      </c>
    </row>
    <row r="23" spans="1:8">
      <c r="A23" s="111"/>
      <c r="B23" s="111"/>
      <c r="C23" s="111"/>
      <c r="D23" s="111"/>
      <c r="E23" s="111"/>
      <c r="F23" s="111"/>
      <c r="G23" s="111"/>
      <c r="H23" s="111"/>
    </row>
    <row r="24" spans="1:8">
      <c r="A24" s="111"/>
      <c r="B24" s="111"/>
      <c r="C24" s="111"/>
    </row>
    <row r="25" spans="1:8">
      <c r="A25" s="111"/>
      <c r="B25" s="111"/>
      <c r="C25" s="111"/>
      <c r="D25" s="111"/>
      <c r="E25" s="111"/>
      <c r="F25" s="111"/>
      <c r="G25" s="111"/>
      <c r="H25" s="111"/>
    </row>
    <row r="26" spans="1:8">
      <c r="A26" s="111"/>
      <c r="B26" s="111"/>
      <c r="C26" s="111"/>
      <c r="D26" s="111"/>
      <c r="E26" s="111"/>
      <c r="F26" s="111"/>
      <c r="G26" s="111"/>
      <c r="H26" s="111"/>
    </row>
    <row r="27" spans="1:8">
      <c r="A27" s="111"/>
      <c r="B27" s="111"/>
      <c r="C27" s="111"/>
      <c r="D27" s="111"/>
      <c r="E27" s="111"/>
      <c r="F27" s="111"/>
      <c r="G27" s="111"/>
      <c r="H27" s="111"/>
    </row>
    <row r="28" spans="1:8">
      <c r="A28" s="111"/>
      <c r="B28" s="111"/>
      <c r="C28" s="111"/>
      <c r="D28" s="111"/>
      <c r="E28" s="111"/>
      <c r="F28" s="111"/>
      <c r="G28" s="111"/>
      <c r="H28" s="111"/>
    </row>
    <row r="29" spans="1:8">
      <c r="A29" s="111"/>
      <c r="B29" s="111"/>
      <c r="C29" s="111"/>
      <c r="D29" s="111"/>
      <c r="E29" s="111"/>
      <c r="F29" s="111"/>
      <c r="G29" s="111"/>
      <c r="H29" s="111"/>
    </row>
    <row r="30" spans="1:8">
      <c r="A30" s="111"/>
      <c r="B30" s="111"/>
      <c r="C30" s="111"/>
      <c r="D30" s="111"/>
      <c r="E30" s="111"/>
      <c r="F30" s="111"/>
      <c r="G30" s="111"/>
      <c r="H30" s="111"/>
    </row>
    <row r="31" spans="1:8">
      <c r="A31" s="111"/>
      <c r="B31" s="111"/>
      <c r="C31" s="111"/>
      <c r="D31" s="111"/>
      <c r="E31" s="111"/>
      <c r="F31" s="111"/>
      <c r="G31" s="111"/>
      <c r="H31" s="111"/>
    </row>
    <row r="32" spans="1:8">
      <c r="A32" s="111"/>
      <c r="B32" s="111"/>
      <c r="C32" s="111"/>
      <c r="D32" s="111"/>
      <c r="E32" s="111"/>
      <c r="F32" s="111"/>
      <c r="G32" s="111"/>
    </row>
    <row r="33" spans="1:8" ht="13.5" thickBot="1">
      <c r="A33" s="111"/>
      <c r="B33" s="111"/>
      <c r="C33" s="111"/>
      <c r="D33" s="111"/>
      <c r="E33" s="111"/>
      <c r="F33" s="111"/>
      <c r="G33" s="111"/>
      <c r="H33" s="117">
        <f>SUM(H20:H32)</f>
        <v>16960</v>
      </c>
    </row>
    <row r="34" spans="1:8" ht="13.5" thickTop="1">
      <c r="A34" s="111"/>
      <c r="B34" s="111"/>
      <c r="C34" s="111"/>
      <c r="D34" s="111"/>
      <c r="E34" s="111"/>
      <c r="F34" s="111"/>
      <c r="G34" s="111"/>
      <c r="H34" s="111"/>
    </row>
    <row r="35" spans="1:8" ht="20.100000000000001" customHeight="1">
      <c r="A35" s="118" t="s">
        <v>1133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Sixteen Thousand Nine Hundred Sixty and NO/100 -----------</v>
      </c>
      <c r="C35" s="118"/>
      <c r="D35" s="119"/>
      <c r="E35" s="119"/>
      <c r="F35" s="119"/>
      <c r="G35" s="119"/>
      <c r="H35" s="119"/>
    </row>
    <row r="36" spans="1:8">
      <c r="A36" s="120" t="s">
        <v>11</v>
      </c>
      <c r="B36" s="111"/>
      <c r="C36" s="111"/>
      <c r="D36" s="111"/>
      <c r="E36" s="111"/>
      <c r="F36" s="111"/>
      <c r="G36" s="111"/>
      <c r="H36" s="111"/>
    </row>
    <row r="37" spans="1:8">
      <c r="A37" s="111" t="s">
        <v>10</v>
      </c>
      <c r="B37" s="111"/>
      <c r="C37" s="111"/>
      <c r="D37" s="111"/>
      <c r="E37" s="111"/>
      <c r="F37" s="111"/>
      <c r="G37" s="111"/>
      <c r="H37" s="111"/>
    </row>
    <row r="38" spans="1:8">
      <c r="A38" s="111"/>
      <c r="B38" s="111"/>
      <c r="C38" s="111"/>
      <c r="D38" s="111"/>
      <c r="E38" s="111"/>
      <c r="F38" s="111"/>
      <c r="G38" s="111"/>
      <c r="H38" s="111"/>
    </row>
    <row r="39" spans="1:8" ht="25.5">
      <c r="A39" s="126"/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21"/>
      <c r="E40" s="121"/>
      <c r="F40" s="111"/>
      <c r="G40" s="111"/>
      <c r="H40" s="111"/>
    </row>
    <row r="41" spans="1:8">
      <c r="A41" s="122"/>
      <c r="B41" s="122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3" t="s">
        <v>8</v>
      </c>
      <c r="B43" s="111"/>
      <c r="C43" s="111"/>
      <c r="D43" s="123" t="s">
        <v>8</v>
      </c>
      <c r="E43" s="111"/>
      <c r="F43" s="123" t="s">
        <v>7</v>
      </c>
      <c r="G43" s="111"/>
      <c r="H43" s="124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11"/>
      <c r="B45" s="111"/>
      <c r="C45" s="111"/>
      <c r="D45" s="111"/>
      <c r="E45" s="111"/>
      <c r="F45" s="111"/>
      <c r="G45" s="111"/>
      <c r="H45" s="111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22"/>
      <c r="B47" s="122"/>
      <c r="C47" s="111"/>
      <c r="D47" s="122"/>
      <c r="E47" s="111"/>
      <c r="F47" s="122"/>
      <c r="G47" s="122"/>
      <c r="H47" s="122"/>
    </row>
    <row r="48" spans="1:8" s="3" customFormat="1" ht="17.100000000000001" customHeight="1">
      <c r="A48" s="151" t="s">
        <v>2948</v>
      </c>
      <c r="B48" s="125"/>
      <c r="C48" s="125"/>
      <c r="D48" s="151" t="s">
        <v>103</v>
      </c>
      <c r="E48" s="126"/>
      <c r="F48" s="126" t="s">
        <v>3</v>
      </c>
      <c r="G48" s="126"/>
      <c r="H48" s="126"/>
    </row>
    <row r="49" spans="1:8">
      <c r="A49" s="111"/>
      <c r="B49" s="111"/>
      <c r="C49" s="111"/>
      <c r="D49" s="111"/>
      <c r="E49" s="111"/>
      <c r="F49" s="111" t="s">
        <v>2</v>
      </c>
      <c r="G49" s="111"/>
      <c r="H49" s="111"/>
    </row>
    <row r="50" spans="1:8">
      <c r="A50" s="151"/>
      <c r="B50" s="111"/>
      <c r="C50" s="111"/>
      <c r="D50" s="111"/>
      <c r="E50" s="111"/>
      <c r="F50" s="111"/>
      <c r="G50" s="111"/>
      <c r="H50" s="111"/>
    </row>
    <row r="51" spans="1:8">
      <c r="A51" s="111"/>
      <c r="B51" s="111"/>
      <c r="C51" s="111"/>
      <c r="D51" s="111"/>
      <c r="E51" s="111"/>
      <c r="F51" s="2" t="s">
        <v>1</v>
      </c>
      <c r="G51" s="111"/>
      <c r="H51" s="111"/>
    </row>
    <row r="52" spans="1:8">
      <c r="A52" s="111"/>
      <c r="B52" s="111"/>
      <c r="C52" s="111"/>
      <c r="D52" s="111"/>
      <c r="E52" s="111"/>
      <c r="F52" s="2" t="s">
        <v>0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 codeName="Sheet170">
    <pageSetUpPr fitToPage="1"/>
  </sheetPr>
  <dimension ref="A1:F54"/>
  <sheetViews>
    <sheetView topLeftCell="A25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1774</v>
      </c>
      <c r="F9" s="111"/>
    </row>
    <row r="10" spans="1:6">
      <c r="A10" s="111" t="s">
        <v>1410</v>
      </c>
      <c r="B10" s="111"/>
      <c r="C10" s="111"/>
      <c r="D10" s="112" t="s">
        <v>1162</v>
      </c>
      <c r="E10" s="112" t="s">
        <v>1772</v>
      </c>
      <c r="F10" s="111"/>
    </row>
    <row r="11" spans="1:6">
      <c r="A11" s="111"/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1096</v>
      </c>
      <c r="E12" s="112" t="s">
        <v>1775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111"/>
      <c r="D18" s="111"/>
      <c r="E18" s="111"/>
      <c r="F18" s="111"/>
    </row>
    <row r="19" spans="1:6">
      <c r="B19" s="116"/>
      <c r="C19" s="111" t="s">
        <v>1549</v>
      </c>
      <c r="D19" s="111"/>
      <c r="E19" s="111"/>
      <c r="F19" s="111"/>
    </row>
    <row r="20" spans="1:6">
      <c r="A20" s="111"/>
      <c r="B20" s="111"/>
      <c r="C20" s="111"/>
      <c r="D20" s="111"/>
      <c r="E20" s="111"/>
      <c r="F20" s="111"/>
    </row>
    <row r="21" spans="1:6">
      <c r="A21" s="112" t="s">
        <v>1773</v>
      </c>
      <c r="B21" s="111"/>
      <c r="C21" s="111" t="s">
        <v>1551</v>
      </c>
      <c r="D21" s="111"/>
      <c r="E21" s="111"/>
      <c r="F21" s="111"/>
    </row>
    <row r="22" spans="1:6">
      <c r="A22" s="111"/>
      <c r="B22" s="111"/>
      <c r="C22" s="111" t="s">
        <v>1550</v>
      </c>
      <c r="D22" s="111"/>
      <c r="E22" s="111"/>
      <c r="F22" s="111"/>
    </row>
    <row r="23" spans="1:6">
      <c r="A23" s="111"/>
      <c r="B23" s="111"/>
      <c r="C23" s="111" t="s">
        <v>1626</v>
      </c>
      <c r="D23" s="111"/>
      <c r="E23" s="111"/>
      <c r="F23" s="111">
        <v>441</v>
      </c>
    </row>
    <row r="24" spans="1:6">
      <c r="A24" s="111"/>
      <c r="B24" s="111"/>
      <c r="C24" s="111" t="s">
        <v>1628</v>
      </c>
      <c r="D24" s="111"/>
      <c r="E24" s="111"/>
      <c r="F24" s="111">
        <v>155.19999999999999</v>
      </c>
    </row>
    <row r="25" spans="1:6">
      <c r="A25" s="111"/>
      <c r="B25" s="111"/>
      <c r="C25" s="111" t="s">
        <v>1776</v>
      </c>
      <c r="D25" s="111"/>
      <c r="E25" s="111"/>
      <c r="F25" s="111">
        <v>691</v>
      </c>
    </row>
    <row r="26" spans="1:6">
      <c r="A26" s="111"/>
      <c r="B26" s="111"/>
      <c r="C26" s="111" t="s">
        <v>1629</v>
      </c>
      <c r="D26" s="111"/>
      <c r="E26" s="111"/>
      <c r="F26" s="111">
        <v>35.729999999999997</v>
      </c>
    </row>
    <row r="27" spans="1:6">
      <c r="A27" s="111"/>
      <c r="B27" s="111"/>
      <c r="C27" s="111" t="s">
        <v>1777</v>
      </c>
      <c r="D27" s="111"/>
      <c r="E27" s="111"/>
      <c r="F27" s="111">
        <v>0.02</v>
      </c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1322.95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1778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34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2559</v>
      </c>
      <c r="F9" s="111"/>
    </row>
    <row r="10" spans="1:6">
      <c r="A10" s="111" t="s">
        <v>1410</v>
      </c>
      <c r="B10" s="111"/>
      <c r="C10" s="111"/>
      <c r="D10" s="112" t="s">
        <v>1162</v>
      </c>
      <c r="E10" s="112" t="s">
        <v>2549</v>
      </c>
      <c r="F10" s="111"/>
    </row>
    <row r="11" spans="1:6">
      <c r="A11" s="111"/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1096</v>
      </c>
      <c r="E12" s="112" t="s">
        <v>2560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2"/>
      <c r="D18" s="111"/>
      <c r="E18" s="111"/>
      <c r="F18" s="111"/>
    </row>
    <row r="19" spans="1:6">
      <c r="B19" s="116"/>
      <c r="C19" s="111"/>
      <c r="D19" s="111"/>
      <c r="E19" s="111"/>
      <c r="F19" s="111"/>
    </row>
    <row r="20" spans="1:6">
      <c r="A20" s="111"/>
      <c r="B20" s="111"/>
      <c r="C20" s="111" t="s">
        <v>2561</v>
      </c>
      <c r="D20" s="111"/>
      <c r="E20" s="111"/>
      <c r="F20" s="111">
        <v>500</v>
      </c>
    </row>
    <row r="21" spans="1:6">
      <c r="A21" s="112"/>
      <c r="B21" s="111"/>
      <c r="C21" s="111" t="s">
        <v>2562</v>
      </c>
      <c r="D21" s="111"/>
      <c r="E21" s="111"/>
      <c r="F21" s="111"/>
    </row>
    <row r="22" spans="1:6">
      <c r="A22" s="111"/>
      <c r="B22" s="111"/>
      <c r="D22" s="111"/>
      <c r="E22" s="111"/>
      <c r="F22" s="111"/>
    </row>
    <row r="23" spans="1:6">
      <c r="A23" s="111"/>
      <c r="B23" s="111"/>
      <c r="C23" s="111" t="s">
        <v>2188</v>
      </c>
      <c r="D23" s="111"/>
      <c r="E23" s="111"/>
      <c r="F23" s="111"/>
    </row>
    <row r="24" spans="1:6">
      <c r="A24" s="111"/>
      <c r="B24" s="111"/>
      <c r="C24" s="111"/>
      <c r="D24" s="111"/>
      <c r="E24" s="111"/>
      <c r="F24" s="111"/>
    </row>
    <row r="25" spans="1:6">
      <c r="A25" s="111"/>
      <c r="B25" s="111"/>
      <c r="C25" s="111"/>
      <c r="D25" s="111"/>
      <c r="E25" s="111"/>
      <c r="F25" s="111"/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500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Five Hundred and NO/100 -----------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A9EE-6374-43C4-9E43-6B9A03A1D0DC}">
  <sheetPr codeName="Sheet563">
    <pageSetUpPr fitToPage="1"/>
  </sheetPr>
  <dimension ref="A1:H55"/>
  <sheetViews>
    <sheetView topLeftCell="A4" zoomScaleNormal="100" workbookViewId="0">
      <selection activeCell="G9" sqref="G9:G13"/>
    </sheetView>
  </sheetViews>
  <sheetFormatPr defaultRowHeight="12.75"/>
  <cols>
    <col min="1" max="1" width="15.85546875" style="111" customWidth="1"/>
    <col min="2" max="2" width="15.42578125" style="111" customWidth="1"/>
    <col min="3" max="3" width="1" style="111" customWidth="1"/>
    <col min="4" max="4" width="23" style="111" customWidth="1"/>
    <col min="5" max="5" width="1.42578125" style="111" customWidth="1"/>
    <col min="6" max="6" width="12" style="111" customWidth="1"/>
    <col min="7" max="7" width="9.710937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1239</v>
      </c>
      <c r="G9" s="132" t="s">
        <v>5889</v>
      </c>
    </row>
    <row r="10" spans="1:8">
      <c r="A10" s="111" t="s">
        <v>5891</v>
      </c>
      <c r="F10" s="112" t="s">
        <v>1124</v>
      </c>
      <c r="G10" s="132" t="s">
        <v>5880</v>
      </c>
    </row>
    <row r="11" spans="1:8">
      <c r="A11" s="111" t="s">
        <v>2525</v>
      </c>
      <c r="F11" s="112" t="s">
        <v>1125</v>
      </c>
      <c r="G11" s="132" t="s">
        <v>1094</v>
      </c>
    </row>
    <row r="12" spans="1:8">
      <c r="A12" s="111" t="s">
        <v>5892</v>
      </c>
      <c r="F12" s="112" t="s">
        <v>1096</v>
      </c>
      <c r="G12" s="111" t="s">
        <v>5890</v>
      </c>
    </row>
    <row r="13" spans="1:8">
      <c r="A13" s="111" t="s">
        <v>2527</v>
      </c>
      <c r="G13" s="111" t="s">
        <v>5775</v>
      </c>
    </row>
    <row r="14" spans="1:8">
      <c r="A14" s="111" t="s">
        <v>2528</v>
      </c>
    </row>
    <row r="16" spans="1:8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53"/>
    </row>
    <row r="18" spans="1:8">
      <c r="B18" s="116"/>
      <c r="C18" s="116"/>
      <c r="D18" s="2" t="s">
        <v>5893</v>
      </c>
      <c r="E18" s="2"/>
    </row>
    <row r="19" spans="1:8">
      <c r="D19" s="2" t="s">
        <v>5894</v>
      </c>
    </row>
    <row r="20" spans="1:8">
      <c r="A20" s="116"/>
      <c r="B20" s="116"/>
      <c r="C20" s="116"/>
    </row>
    <row r="21" spans="1:8">
      <c r="A21" s="116" t="s">
        <v>5878</v>
      </c>
      <c r="B21" s="116" t="s">
        <v>5895</v>
      </c>
      <c r="C21" s="116"/>
      <c r="D21" s="111" t="s">
        <v>5896</v>
      </c>
      <c r="H21" s="111">
        <v>260</v>
      </c>
    </row>
    <row r="22" spans="1:8">
      <c r="A22" s="116"/>
      <c r="B22" s="116"/>
      <c r="C22" s="116"/>
      <c r="D22" s="111" t="s">
        <v>5897</v>
      </c>
    </row>
    <row r="23" spans="1:8">
      <c r="A23" s="116"/>
      <c r="B23" s="116"/>
      <c r="C23" s="116"/>
    </row>
    <row r="24" spans="1:8">
      <c r="A24" s="116"/>
      <c r="B24" s="116"/>
      <c r="C24" s="116"/>
    </row>
    <row r="25" spans="1:8">
      <c r="A25" s="116"/>
      <c r="B25" s="116"/>
      <c r="C25" s="116"/>
    </row>
    <row r="26" spans="1:8">
      <c r="A26" s="116"/>
      <c r="B26" s="116"/>
      <c r="C26" s="116"/>
    </row>
    <row r="27" spans="1:8">
      <c r="A27" s="116"/>
      <c r="B27" s="116"/>
      <c r="C27" s="116"/>
    </row>
    <row r="29" spans="1:8">
      <c r="A29" s="116"/>
      <c r="B29" s="121"/>
      <c r="C29" s="121"/>
    </row>
    <row r="30" spans="1:8">
      <c r="A30" s="121"/>
      <c r="B30" s="121"/>
      <c r="C30" s="121"/>
    </row>
    <row r="31" spans="1:8">
      <c r="A31" s="116"/>
      <c r="B31" s="121"/>
      <c r="C31" s="121"/>
    </row>
    <row r="32" spans="1:8">
      <c r="A32" s="153"/>
    </row>
    <row r="33" spans="1:8">
      <c r="A33" s="153"/>
    </row>
    <row r="34" spans="1:8">
      <c r="A34" s="153"/>
    </row>
    <row r="35" spans="1:8">
      <c r="A35" s="153"/>
    </row>
    <row r="36" spans="1:8" ht="13.5" thickBot="1">
      <c r="A36" s="153"/>
      <c r="H36" s="117">
        <f>SUM(H18:H34)</f>
        <v>260</v>
      </c>
    </row>
    <row r="37" spans="1:8" ht="13.5" thickTop="1">
      <c r="A37" s="153"/>
    </row>
    <row r="38" spans="1:8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Two Hundred Sixty and NO/100 -----------</v>
      </c>
      <c r="C38" s="202"/>
      <c r="D38" s="119"/>
      <c r="E38" s="119"/>
      <c r="F38" s="119"/>
      <c r="G38" s="119"/>
      <c r="H38" s="119"/>
    </row>
    <row r="39" spans="1:8">
      <c r="A39" s="120" t="s">
        <v>11</v>
      </c>
    </row>
    <row r="40" spans="1:8" ht="25.5">
      <c r="A40" s="126" t="s">
        <v>10</v>
      </c>
      <c r="F40" s="265" t="s">
        <v>2894</v>
      </c>
      <c r="G40" s="266"/>
      <c r="H40" s="267"/>
    </row>
    <row r="43" spans="1:8">
      <c r="D43" s="121"/>
      <c r="E43" s="121"/>
    </row>
    <row r="44" spans="1:8">
      <c r="A44" s="122"/>
      <c r="B44" s="122"/>
      <c r="C44" s="433"/>
      <c r="D44" s="433"/>
    </row>
    <row r="45" spans="1:8">
      <c r="D45" s="433"/>
    </row>
    <row r="46" spans="1:8">
      <c r="A46" s="123" t="s">
        <v>8</v>
      </c>
      <c r="D46" s="123" t="s">
        <v>8</v>
      </c>
      <c r="F46" s="123" t="s">
        <v>7</v>
      </c>
      <c r="H46" s="124"/>
    </row>
    <row r="50" spans="1:8">
      <c r="A50" s="122"/>
      <c r="B50" s="122"/>
      <c r="C50" s="433"/>
      <c r="D50" s="122"/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D52" s="433"/>
      <c r="F52" s="111" t="s">
        <v>2</v>
      </c>
    </row>
    <row r="53" spans="1:8">
      <c r="D53" s="433"/>
    </row>
    <row r="54" spans="1:8">
      <c r="D54" s="433"/>
      <c r="F54" s="2" t="s">
        <v>1</v>
      </c>
    </row>
    <row r="55" spans="1:8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Sheet171">
    <pageSetUpPr fitToPage="1"/>
  </sheetPr>
  <dimension ref="A1:H53"/>
  <sheetViews>
    <sheetView topLeftCell="A4" workbookViewId="0">
      <selection activeCell="G9" sqref="G9:G13"/>
    </sheetView>
  </sheetViews>
  <sheetFormatPr defaultRowHeight="12.75"/>
  <cols>
    <col min="1" max="1" width="14.42578125" style="111" customWidth="1"/>
    <col min="2" max="2" width="16.5703125" style="111" customWidth="1"/>
    <col min="3" max="3" width="0.85546875" style="111" customWidth="1"/>
    <col min="4" max="4" width="22.42578125" style="111" customWidth="1"/>
    <col min="5" max="5" width="1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26" t="s">
        <v>4058</v>
      </c>
    </row>
    <row r="10" spans="1:8">
      <c r="A10" s="111" t="s">
        <v>1526</v>
      </c>
      <c r="F10" s="112" t="s">
        <v>1180</v>
      </c>
      <c r="G10" s="160" t="s">
        <v>4054</v>
      </c>
    </row>
    <row r="11" spans="1:8">
      <c r="A11" s="111" t="s">
        <v>1527</v>
      </c>
      <c r="F11" s="112" t="s">
        <v>1181</v>
      </c>
      <c r="G11" s="160" t="s">
        <v>1094</v>
      </c>
    </row>
    <row r="12" spans="1:8">
      <c r="A12" s="111" t="s">
        <v>1528</v>
      </c>
      <c r="F12" s="112" t="s">
        <v>1182</v>
      </c>
      <c r="G12" s="160" t="s">
        <v>4059</v>
      </c>
    </row>
    <row r="13" spans="1:8">
      <c r="A13" s="111" t="s">
        <v>1529</v>
      </c>
    </row>
    <row r="16" spans="1:8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A18" s="131"/>
      <c r="B18" s="131"/>
      <c r="C18" s="131"/>
      <c r="D18" s="110" t="s">
        <v>4060</v>
      </c>
      <c r="E18" s="110"/>
    </row>
    <row r="19" spans="1:8">
      <c r="A19" s="163"/>
      <c r="B19" s="131"/>
      <c r="C19" s="131"/>
      <c r="D19" s="131"/>
      <c r="E19" s="131"/>
      <c r="F19" s="131"/>
    </row>
    <row r="20" spans="1:8">
      <c r="A20" s="165" t="s">
        <v>4037</v>
      </c>
      <c r="B20" s="306" t="s">
        <v>4061</v>
      </c>
      <c r="C20" s="306"/>
      <c r="D20" s="341" t="s">
        <v>4062</v>
      </c>
      <c r="E20" s="306"/>
      <c r="F20" s="131"/>
      <c r="H20" s="111">
        <f>66303*3.0034</f>
        <v>199134.4302</v>
      </c>
    </row>
    <row r="22" spans="1:8">
      <c r="A22" s="116"/>
      <c r="B22" s="116"/>
      <c r="C22" s="116"/>
      <c r="D22" s="111" t="s">
        <v>4063</v>
      </c>
    </row>
    <row r="24" spans="1:8">
      <c r="A24" s="148"/>
      <c r="B24" s="157"/>
      <c r="C24" s="157"/>
      <c r="H24" s="149"/>
    </row>
    <row r="25" spans="1:8">
      <c r="D25" s="2"/>
      <c r="E25" s="2"/>
    </row>
    <row r="27" spans="1:8">
      <c r="A27" s="115"/>
      <c r="B27" s="121"/>
      <c r="C27" s="121"/>
      <c r="H27" s="149"/>
    </row>
    <row r="29" spans="1:8">
      <c r="A29" s="115"/>
      <c r="B29" s="121"/>
      <c r="C29" s="121"/>
      <c r="H29" s="149"/>
    </row>
    <row r="33" spans="1:8" ht="13.5" thickBot="1">
      <c r="H33" s="127">
        <f>SUM(H20:H32)</f>
        <v>199134.4302</v>
      </c>
    </row>
    <row r="34" spans="1:8" ht="13.5" thickTop="1"/>
    <row r="35" spans="1:8" ht="20.100000000000001" customHeight="1">
      <c r="A35" s="118" t="s">
        <v>204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>One Hundred Ninety-Nine Thousand One Hundred Thirty-Four and 43/100 -----------</v>
      </c>
      <c r="C35" s="118"/>
      <c r="D35" s="119"/>
      <c r="E35" s="119"/>
      <c r="F35" s="119"/>
      <c r="G35" s="119"/>
      <c r="H35" s="119"/>
    </row>
    <row r="36" spans="1:8">
      <c r="A36" s="120" t="s">
        <v>11</v>
      </c>
    </row>
    <row r="37" spans="1:8">
      <c r="A37" s="111" t="s">
        <v>10</v>
      </c>
      <c r="D37" s="123" t="s">
        <v>8</v>
      </c>
    </row>
    <row r="39" spans="1:8" ht="25.5">
      <c r="A39" s="126"/>
      <c r="F39" s="265" t="s">
        <v>2894</v>
      </c>
      <c r="G39" s="266"/>
      <c r="H39" s="267"/>
    </row>
    <row r="40" spans="1:8">
      <c r="A40" s="111" t="s">
        <v>52</v>
      </c>
      <c r="E40" s="121"/>
    </row>
    <row r="41" spans="1:8">
      <c r="A41" s="122"/>
      <c r="B41" s="122"/>
      <c r="D41" s="122" t="s">
        <v>51</v>
      </c>
    </row>
    <row r="42" spans="1:8">
      <c r="D42" s="111" t="s">
        <v>103</v>
      </c>
    </row>
    <row r="44" spans="1:8">
      <c r="A44" s="123" t="s">
        <v>8</v>
      </c>
      <c r="D44" s="123" t="s">
        <v>8</v>
      </c>
      <c r="F44" s="123" t="s">
        <v>7</v>
      </c>
      <c r="H44" s="124"/>
    </row>
    <row r="48" spans="1:8">
      <c r="A48" s="122" t="s">
        <v>51</v>
      </c>
      <c r="B48" s="122"/>
      <c r="D48" s="122" t="s">
        <v>51</v>
      </c>
      <c r="E48" s="122"/>
      <c r="F48" s="122"/>
      <c r="G48" s="122"/>
      <c r="H48" s="122"/>
    </row>
    <row r="49" spans="1:6" s="126" customFormat="1" ht="17.100000000000001" customHeight="1">
      <c r="A49" s="151" t="s">
        <v>2948</v>
      </c>
      <c r="B49" s="125"/>
      <c r="C49" s="125"/>
      <c r="D49" s="151" t="s">
        <v>103</v>
      </c>
      <c r="E49" s="125"/>
      <c r="F49" s="126" t="s">
        <v>3</v>
      </c>
    </row>
    <row r="50" spans="1:6">
      <c r="F50" s="111" t="s">
        <v>2</v>
      </c>
    </row>
    <row r="51" spans="1:6">
      <c r="A51" s="151"/>
    </row>
    <row r="52" spans="1:6">
      <c r="F52" s="2" t="s">
        <v>1</v>
      </c>
    </row>
    <row r="53" spans="1:6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Sheet172">
    <pageSetUpPr fitToPage="1"/>
  </sheetPr>
  <dimension ref="A1:F52"/>
  <sheetViews>
    <sheetView topLeftCell="A19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1483</v>
      </c>
    </row>
    <row r="10" spans="1:6">
      <c r="A10" s="111" t="s">
        <v>1485</v>
      </c>
      <c r="D10" s="112" t="s">
        <v>1180</v>
      </c>
      <c r="E10" s="166" t="s">
        <v>1482</v>
      </c>
    </row>
    <row r="11" spans="1:6">
      <c r="A11" s="111" t="s">
        <v>1486</v>
      </c>
      <c r="D11" s="112" t="s">
        <v>1181</v>
      </c>
      <c r="E11" s="112" t="s">
        <v>1094</v>
      </c>
    </row>
    <row r="12" spans="1:6">
      <c r="A12" s="111" t="s">
        <v>1487</v>
      </c>
      <c r="D12" s="112" t="s">
        <v>1182</v>
      </c>
      <c r="E12" s="112" t="s">
        <v>1484</v>
      </c>
    </row>
    <row r="13" spans="1:6">
      <c r="A13" s="111" t="s">
        <v>1287</v>
      </c>
    </row>
    <row r="14" spans="1:6">
      <c r="A14" s="111" t="s">
        <v>1488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1489</v>
      </c>
    </row>
    <row r="19" spans="1:6">
      <c r="B19" s="116"/>
    </row>
    <row r="20" spans="1:6">
      <c r="A20" s="116" t="s">
        <v>1490</v>
      </c>
      <c r="C20" s="111" t="s">
        <v>1491</v>
      </c>
      <c r="F20" s="111">
        <v>2500</v>
      </c>
    </row>
    <row r="22" spans="1:6">
      <c r="A22" s="116"/>
      <c r="B22" s="116"/>
    </row>
    <row r="24" spans="1:6">
      <c r="A24" s="148"/>
      <c r="B24" s="157"/>
      <c r="F24" s="149"/>
    </row>
    <row r="25" spans="1:6">
      <c r="C25" s="2"/>
    </row>
    <row r="27" spans="1:6">
      <c r="A27" s="115"/>
      <c r="B27" s="121"/>
      <c r="F27" s="149"/>
    </row>
    <row r="29" spans="1:6">
      <c r="A29" s="115"/>
      <c r="B29" s="121"/>
      <c r="F29" s="149"/>
    </row>
    <row r="33" spans="1:6" ht="13.5" thickBot="1">
      <c r="F33" s="127">
        <f>SUM(F20:F32)</f>
        <v>2500</v>
      </c>
    </row>
    <row r="34" spans="1:6" ht="13.5" thickTop="1"/>
    <row r="35" spans="1:6" ht="20.100000000000001" customHeight="1">
      <c r="A35" s="118" t="s">
        <v>204</v>
      </c>
      <c r="B35" s="118" t="s">
        <v>1492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Sheet173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1467</v>
      </c>
    </row>
    <row r="10" spans="1:6">
      <c r="A10" s="111" t="s">
        <v>1469</v>
      </c>
      <c r="D10" s="112" t="s">
        <v>1180</v>
      </c>
      <c r="E10" s="112" t="s">
        <v>1454</v>
      </c>
    </row>
    <row r="11" spans="1:6">
      <c r="A11" s="111" t="s">
        <v>1470</v>
      </c>
      <c r="D11" s="112" t="s">
        <v>1181</v>
      </c>
      <c r="E11" s="112" t="s">
        <v>1094</v>
      </c>
    </row>
    <row r="12" spans="1:6">
      <c r="A12" s="111" t="s">
        <v>1471</v>
      </c>
      <c r="D12" s="112" t="s">
        <v>1182</v>
      </c>
      <c r="E12" s="112" t="s">
        <v>1468</v>
      </c>
    </row>
    <row r="13" spans="1:6">
      <c r="A13" s="111" t="s">
        <v>696</v>
      </c>
    </row>
    <row r="14" spans="1:6">
      <c r="A14" s="111" t="s">
        <v>1472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1473</v>
      </c>
    </row>
    <row r="19" spans="1:6">
      <c r="B19" s="116"/>
    </row>
    <row r="20" spans="1:6">
      <c r="A20" s="116" t="s">
        <v>1455</v>
      </c>
      <c r="C20" s="111" t="s">
        <v>1474</v>
      </c>
      <c r="F20" s="111">
        <f>25*40</f>
        <v>1000</v>
      </c>
    </row>
    <row r="22" spans="1:6">
      <c r="A22" s="116"/>
      <c r="B22" s="116"/>
    </row>
    <row r="24" spans="1:6">
      <c r="A24" s="148"/>
      <c r="B24" s="157"/>
      <c r="F24" s="149"/>
    </row>
    <row r="25" spans="1:6">
      <c r="C25" s="2"/>
    </row>
    <row r="27" spans="1:6">
      <c r="A27" s="115"/>
      <c r="B27" s="121"/>
      <c r="F27" s="149"/>
    </row>
    <row r="29" spans="1:6">
      <c r="A29" s="115"/>
      <c r="B29" s="121"/>
      <c r="F29" s="149"/>
    </row>
    <row r="33" spans="1:6" ht="13.5" thickBot="1">
      <c r="F33" s="127">
        <f>SUM(F20:F32)</f>
        <v>1000</v>
      </c>
    </row>
    <row r="34" spans="1:6" ht="13.5" thickTop="1"/>
    <row r="35" spans="1:6" ht="20.100000000000001" customHeight="1">
      <c r="A35" s="118" t="s">
        <v>204</v>
      </c>
      <c r="B35" s="118" t="s">
        <v>1462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Sheet131">
    <pageSetUpPr fitToPage="1"/>
  </sheetPr>
  <dimension ref="A1:F52"/>
  <sheetViews>
    <sheetView topLeftCell="A16" workbookViewId="0">
      <selection activeCell="G9" sqref="G9:G13"/>
    </sheetView>
  </sheetViews>
  <sheetFormatPr defaultRowHeight="12.75"/>
  <cols>
    <col min="1" max="1" width="16.42578125" style="111" customWidth="1"/>
    <col min="2" max="2" width="12.42578125" style="111" customWidth="1"/>
    <col min="3" max="3" width="23" style="111" customWidth="1"/>
    <col min="4" max="4" width="12.7109375" style="111" customWidth="1"/>
    <col min="5" max="5" width="10.85546875" style="111" customWidth="1"/>
    <col min="6" max="6" width="12.855468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3838</v>
      </c>
    </row>
    <row r="10" spans="1:6">
      <c r="A10" s="111" t="s">
        <v>1367</v>
      </c>
      <c r="D10" s="112" t="s">
        <v>1162</v>
      </c>
      <c r="E10" s="112" t="s">
        <v>3836</v>
      </c>
    </row>
    <row r="11" spans="1:6">
      <c r="A11" s="111" t="s">
        <v>1368</v>
      </c>
      <c r="D11" s="112" t="s">
        <v>1163</v>
      </c>
      <c r="E11" s="112" t="s">
        <v>1094</v>
      </c>
    </row>
    <row r="12" spans="1:6">
      <c r="A12" s="111" t="s">
        <v>1369</v>
      </c>
      <c r="D12" s="112" t="s">
        <v>1169</v>
      </c>
      <c r="E12" s="112" t="s">
        <v>3839</v>
      </c>
    </row>
    <row r="13" spans="1:6">
      <c r="A13" s="111" t="s">
        <v>1370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A18" s="153"/>
      <c r="C18" s="2" t="s">
        <v>3840</v>
      </c>
    </row>
    <row r="20" spans="1:6">
      <c r="A20" s="156" t="s">
        <v>3837</v>
      </c>
      <c r="B20" s="155" t="s">
        <v>3841</v>
      </c>
      <c r="C20" s="111" t="s">
        <v>3842</v>
      </c>
      <c r="F20" s="111">
        <f>113.21</f>
        <v>113.21</v>
      </c>
    </row>
    <row r="21" spans="1:6">
      <c r="A21" s="154"/>
      <c r="C21" s="111" t="s">
        <v>1814</v>
      </c>
      <c r="F21" s="111">
        <f>F20*6%</f>
        <v>6.7925999999999993</v>
      </c>
    </row>
    <row r="22" spans="1:6">
      <c r="A22" s="154"/>
    </row>
    <row r="23" spans="1:6">
      <c r="A23" s="156"/>
      <c r="B23" s="155"/>
    </row>
    <row r="24" spans="1:6">
      <c r="A24" s="154"/>
    </row>
    <row r="25" spans="1:6">
      <c r="A25" s="121"/>
    </row>
    <row r="26" spans="1:6">
      <c r="A26" s="154"/>
      <c r="C26" s="2"/>
    </row>
    <row r="27" spans="1:6">
      <c r="A27" s="154"/>
    </row>
    <row r="28" spans="1:6">
      <c r="A28" s="156"/>
      <c r="B28" s="121"/>
    </row>
    <row r="29" spans="1:6">
      <c r="A29" s="153"/>
    </row>
    <row r="30" spans="1:6">
      <c r="A30" s="153"/>
    </row>
    <row r="31" spans="1:6">
      <c r="A31" s="153"/>
    </row>
    <row r="32" spans="1:6">
      <c r="A32" s="153"/>
    </row>
    <row r="33" spans="1:6" ht="13.5" thickBot="1">
      <c r="A33" s="153"/>
      <c r="F33" s="117">
        <f>SUM(F20:F32)</f>
        <v>120.00259999999999</v>
      </c>
    </row>
    <row r="34" spans="1:6" ht="13.5" thickTop="1">
      <c r="A34" s="153"/>
    </row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Hundred Twenty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Sheet132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15.42578125" style="111" customWidth="1"/>
    <col min="2" max="2" width="14.5703125" style="111" customWidth="1"/>
    <col min="3" max="3" width="23" style="111" customWidth="1"/>
    <col min="4" max="4" width="12.85546875" style="111" customWidth="1"/>
    <col min="5" max="5" width="8.85546875" style="111" customWidth="1"/>
    <col min="6" max="6" width="13.57031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26" t="s">
        <v>1276</v>
      </c>
    </row>
    <row r="10" spans="1:6">
      <c r="A10" s="111" t="s">
        <v>1278</v>
      </c>
      <c r="D10" s="112" t="s">
        <v>1162</v>
      </c>
      <c r="E10" s="160" t="s">
        <v>1275</v>
      </c>
    </row>
    <row r="11" spans="1:6">
      <c r="A11" s="111" t="s">
        <v>1279</v>
      </c>
      <c r="D11" s="112" t="s">
        <v>1187</v>
      </c>
      <c r="E11" s="160" t="s">
        <v>1094</v>
      </c>
    </row>
    <row r="12" spans="1:6">
      <c r="A12" s="111" t="s">
        <v>1280</v>
      </c>
      <c r="D12" s="112" t="s">
        <v>1188</v>
      </c>
      <c r="E12" s="160" t="s">
        <v>1277</v>
      </c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8" spans="1:6">
      <c r="C18" s="2"/>
    </row>
    <row r="19" spans="1:6">
      <c r="A19" s="116" t="s">
        <v>1281</v>
      </c>
      <c r="B19" s="116" t="s">
        <v>1282</v>
      </c>
      <c r="C19" s="111" t="s">
        <v>1283</v>
      </c>
      <c r="F19" s="111">
        <v>500</v>
      </c>
    </row>
    <row r="20" spans="1:6">
      <c r="B20" s="121"/>
    </row>
    <row r="21" spans="1:6">
      <c r="A21" s="116"/>
      <c r="B21" s="121"/>
    </row>
    <row r="27" spans="1:6">
      <c r="B27" s="120"/>
    </row>
    <row r="28" spans="1:6">
      <c r="B28" s="120"/>
    </row>
    <row r="30" spans="1:6" ht="13.5" thickBot="1">
      <c r="F30" s="127">
        <f>SUM(F19:F29)</f>
        <v>500</v>
      </c>
    </row>
    <row r="31" spans="1:6" ht="13.5" thickTop="1"/>
    <row r="32" spans="1:6" ht="20.100000000000001" customHeight="1">
      <c r="A32" s="118" t="s">
        <v>204</v>
      </c>
      <c r="B32" s="118" t="s">
        <v>1284</v>
      </c>
      <c r="C32" s="119"/>
      <c r="D32" s="119"/>
      <c r="E32" s="119"/>
    </row>
    <row r="33" spans="1:6" ht="13.5" thickBot="1">
      <c r="A33" s="120"/>
      <c r="F33" s="259">
        <f>SUM(F20:F32)</f>
        <v>500</v>
      </c>
    </row>
    <row r="34" spans="1:6" ht="13.5" thickTop="1">
      <c r="A34" s="111" t="s">
        <v>10</v>
      </c>
    </row>
    <row r="37" spans="1:6">
      <c r="C37" s="121"/>
    </row>
    <row r="38" spans="1:6">
      <c r="A38" s="122"/>
      <c r="B38" s="122"/>
    </row>
    <row r="39" spans="1:6" ht="25.5">
      <c r="A39" s="126"/>
      <c r="D39" s="265" t="s">
        <v>2894</v>
      </c>
      <c r="E39" s="266"/>
      <c r="F39" s="267"/>
    </row>
    <row r="40" spans="1:6">
      <c r="A40" s="123" t="s">
        <v>8</v>
      </c>
      <c r="F40" s="124"/>
    </row>
    <row r="44" spans="1:6">
      <c r="A44" s="122"/>
      <c r="B44" s="122"/>
      <c r="D44" s="122"/>
      <c r="E44" s="122"/>
      <c r="F44" s="122"/>
    </row>
    <row r="45" spans="1:6" s="126" customFormat="1" ht="17.100000000000001" customHeight="1">
      <c r="A45" s="125" t="s">
        <v>4</v>
      </c>
      <c r="B45" s="125"/>
      <c r="D45" s="126" t="s">
        <v>3</v>
      </c>
    </row>
    <row r="46" spans="1:6">
      <c r="D46" s="111" t="s">
        <v>2</v>
      </c>
    </row>
    <row r="48" spans="1:6">
      <c r="D48" s="2" t="s">
        <v>1</v>
      </c>
    </row>
    <row r="49" spans="1:4">
      <c r="D49" s="2" t="s">
        <v>0</v>
      </c>
    </row>
    <row r="50" spans="1:4">
      <c r="A50" s="151" t="s">
        <v>2948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Sheet133">
    <pageSetUpPr fitToPage="1"/>
  </sheetPr>
  <dimension ref="A1:F50"/>
  <sheetViews>
    <sheetView topLeftCell="A4" workbookViewId="0">
      <selection activeCell="G9" sqref="G9:G13"/>
    </sheetView>
  </sheetViews>
  <sheetFormatPr defaultRowHeight="12.75"/>
  <cols>
    <col min="1" max="1" width="15.42578125" style="111" customWidth="1"/>
    <col min="2" max="2" width="14.5703125" style="111" customWidth="1"/>
    <col min="3" max="3" width="23" style="111" customWidth="1"/>
    <col min="4" max="4" width="12.85546875" style="111" customWidth="1"/>
    <col min="5" max="5" width="8.85546875" style="111" customWidth="1"/>
    <col min="6" max="6" width="13.57031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1815</v>
      </c>
    </row>
    <row r="10" spans="1:6">
      <c r="A10" s="111" t="s">
        <v>1328</v>
      </c>
      <c r="D10" s="112" t="s">
        <v>1162</v>
      </c>
      <c r="E10" s="112" t="s">
        <v>1813</v>
      </c>
    </row>
    <row r="11" spans="1:6">
      <c r="A11" s="111" t="s">
        <v>1285</v>
      </c>
      <c r="D11" s="112" t="s">
        <v>1187</v>
      </c>
      <c r="E11" s="112" t="s">
        <v>1094</v>
      </c>
    </row>
    <row r="12" spans="1:6">
      <c r="A12" s="111" t="s">
        <v>1286</v>
      </c>
      <c r="D12" s="112" t="s">
        <v>1188</v>
      </c>
      <c r="E12" s="112" t="s">
        <v>1816</v>
      </c>
    </row>
    <row r="13" spans="1:6">
      <c r="A13" s="111" t="s">
        <v>1287</v>
      </c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8" spans="1:6">
      <c r="C18" s="168" t="s">
        <v>1817</v>
      </c>
    </row>
    <row r="20" spans="1:6">
      <c r="A20" s="116" t="s">
        <v>1759</v>
      </c>
      <c r="B20" s="116" t="s">
        <v>1818</v>
      </c>
      <c r="C20" s="111" t="s">
        <v>1819</v>
      </c>
      <c r="F20" s="111">
        <f>300</f>
        <v>300</v>
      </c>
    </row>
    <row r="21" spans="1:6">
      <c r="A21" s="116"/>
      <c r="B21" s="121"/>
    </row>
    <row r="22" spans="1:6">
      <c r="C22" s="2"/>
    </row>
    <row r="27" spans="1:6">
      <c r="B27" s="120"/>
    </row>
    <row r="28" spans="1:6">
      <c r="B28" s="120"/>
    </row>
    <row r="30" spans="1:6" ht="13.5" thickBot="1">
      <c r="F30" s="127">
        <f>SUM(F20:F29)</f>
        <v>300</v>
      </c>
    </row>
    <row r="31" spans="1:6" ht="13.5" thickTop="1"/>
    <row r="32" spans="1:6" ht="20.100000000000001" customHeight="1">
      <c r="A32" s="118" t="s">
        <v>204</v>
      </c>
      <c r="B32" s="118" t="s">
        <v>1820</v>
      </c>
      <c r="C32" s="119"/>
      <c r="D32" s="119"/>
      <c r="E32" s="119"/>
    </row>
    <row r="33" spans="1:6" ht="13.5" thickBot="1">
      <c r="A33" s="120"/>
      <c r="F33" s="259">
        <f>SUM(F20:F32)</f>
        <v>600</v>
      </c>
    </row>
    <row r="34" spans="1:6" ht="13.5" thickTop="1">
      <c r="A34" s="111" t="s">
        <v>10</v>
      </c>
    </row>
    <row r="37" spans="1:6">
      <c r="C37" s="121"/>
    </row>
    <row r="38" spans="1:6">
      <c r="A38" s="122"/>
      <c r="B38" s="122"/>
    </row>
    <row r="39" spans="1:6" ht="25.5">
      <c r="A39" s="126"/>
      <c r="D39" s="265" t="s">
        <v>2894</v>
      </c>
      <c r="E39" s="266"/>
      <c r="F39" s="267"/>
    </row>
    <row r="40" spans="1:6">
      <c r="A40" s="123" t="s">
        <v>8</v>
      </c>
      <c r="F40" s="124"/>
    </row>
    <row r="44" spans="1:6">
      <c r="A44" s="122"/>
      <c r="B44" s="122"/>
      <c r="D44" s="122"/>
      <c r="E44" s="122"/>
      <c r="F44" s="122"/>
    </row>
    <row r="45" spans="1:6" s="126" customFormat="1" ht="17.100000000000001" customHeight="1">
      <c r="A45" s="125" t="s">
        <v>4</v>
      </c>
      <c r="B45" s="125"/>
      <c r="D45" s="126" t="s">
        <v>3</v>
      </c>
    </row>
    <row r="46" spans="1:6">
      <c r="D46" s="111" t="s">
        <v>2</v>
      </c>
    </row>
    <row r="48" spans="1:6">
      <c r="D48" s="2" t="s">
        <v>1</v>
      </c>
    </row>
    <row r="49" spans="1:4">
      <c r="D49" s="2" t="s">
        <v>0</v>
      </c>
    </row>
    <row r="50" spans="1:4">
      <c r="A50" s="151" t="s">
        <v>2948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Sheet134">
    <pageSetUpPr fitToPage="1"/>
  </sheetPr>
  <dimension ref="A1:F50"/>
  <sheetViews>
    <sheetView topLeftCell="A7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1252</v>
      </c>
    </row>
    <row r="10" spans="1:6">
      <c r="A10" s="111" t="s">
        <v>1254</v>
      </c>
      <c r="D10" s="112" t="s">
        <v>1162</v>
      </c>
      <c r="E10" s="112" t="s">
        <v>1251</v>
      </c>
    </row>
    <row r="11" spans="1:6">
      <c r="A11" s="111" t="s">
        <v>1255</v>
      </c>
      <c r="D11" s="112" t="s">
        <v>1163</v>
      </c>
      <c r="E11" s="112" t="s">
        <v>1094</v>
      </c>
    </row>
    <row r="12" spans="1:6">
      <c r="A12" s="111" t="s">
        <v>1256</v>
      </c>
      <c r="D12" s="112" t="s">
        <v>1135</v>
      </c>
      <c r="E12" s="112" t="s">
        <v>1253</v>
      </c>
    </row>
    <row r="13" spans="1:6">
      <c r="A13" s="111" t="s">
        <v>1257</v>
      </c>
    </row>
    <row r="14" spans="1:6">
      <c r="A14" s="111" t="s">
        <v>1258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1261</v>
      </c>
    </row>
    <row r="20" spans="1:6">
      <c r="A20" s="161" t="s">
        <v>1259</v>
      </c>
      <c r="B20" s="116" t="s">
        <v>1260</v>
      </c>
      <c r="C20" s="111" t="s">
        <v>1262</v>
      </c>
    </row>
    <row r="21" spans="1:6">
      <c r="C21" s="111" t="s">
        <v>1263</v>
      </c>
      <c r="F21" s="111">
        <f>450*2</f>
        <v>900</v>
      </c>
    </row>
    <row r="22" spans="1:6">
      <c r="C22" s="111" t="s">
        <v>1264</v>
      </c>
      <c r="F22" s="111">
        <f>180*2</f>
        <v>360</v>
      </c>
    </row>
    <row r="23" spans="1:6">
      <c r="C23" s="111" t="s">
        <v>1265</v>
      </c>
      <c r="F23" s="111">
        <f>70*3</f>
        <v>210</v>
      </c>
    </row>
    <row r="24" spans="1:6">
      <c r="C24" s="111" t="s">
        <v>1266</v>
      </c>
      <c r="F24" s="111">
        <f>30</f>
        <v>30</v>
      </c>
    </row>
    <row r="25" spans="1:6">
      <c r="C25" s="111" t="s">
        <v>1267</v>
      </c>
      <c r="F25" s="111">
        <f>8*20</f>
        <v>160</v>
      </c>
    </row>
    <row r="27" spans="1:6">
      <c r="F27" s="2"/>
    </row>
    <row r="28" spans="1:6">
      <c r="B28" s="120"/>
    </row>
    <row r="29" spans="1:6">
      <c r="B29" s="120"/>
    </row>
    <row r="31" spans="1:6" ht="13.5" thickBot="1">
      <c r="F31" s="127">
        <f>SUM(F20:F30)</f>
        <v>1660</v>
      </c>
    </row>
    <row r="32" spans="1:6" ht="13.5" thickTop="1"/>
    <row r="33" spans="1:6" ht="20.100000000000001" customHeight="1" thickBot="1">
      <c r="A33" s="118" t="s">
        <v>1133</v>
      </c>
      <c r="B33" s="118" t="s">
        <v>1268</v>
      </c>
      <c r="C33" s="119"/>
      <c r="D33" s="119"/>
      <c r="E33" s="119"/>
      <c r="F33" s="117">
        <f>SUM(F20:F32)</f>
        <v>3320</v>
      </c>
    </row>
    <row r="34" spans="1:6" ht="13.5" thickTop="1">
      <c r="A34" s="120"/>
    </row>
    <row r="35" spans="1:6">
      <c r="A35" s="123" t="s">
        <v>10</v>
      </c>
    </row>
    <row r="36" spans="1:6">
      <c r="A36" s="123"/>
    </row>
    <row r="37" spans="1:6">
      <c r="A37" s="123"/>
    </row>
    <row r="38" spans="1:6">
      <c r="A38" s="123"/>
      <c r="C38" s="121"/>
    </row>
    <row r="39" spans="1:6" ht="25.5">
      <c r="A39" s="270"/>
      <c r="B39" s="122"/>
      <c r="D39" s="265" t="s">
        <v>2894</v>
      </c>
      <c r="E39" s="266"/>
      <c r="F39" s="267"/>
    </row>
    <row r="41" spans="1:6">
      <c r="A41" s="123" t="s">
        <v>8</v>
      </c>
      <c r="D41" s="123" t="s">
        <v>7</v>
      </c>
      <c r="F41" s="124"/>
    </row>
    <row r="42" spans="1:6">
      <c r="A42" s="123"/>
    </row>
    <row r="43" spans="1:6">
      <c r="A43" s="123"/>
    </row>
    <row r="44" spans="1:6">
      <c r="A44" s="123"/>
    </row>
    <row r="45" spans="1:6">
      <c r="A45" s="150"/>
      <c r="B45" s="122"/>
      <c r="D45" s="122"/>
      <c r="E45" s="122"/>
      <c r="F45" s="122"/>
    </row>
    <row r="46" spans="1:6" s="126" customFormat="1" ht="17.100000000000001" customHeight="1">
      <c r="A46" s="151" t="s">
        <v>4</v>
      </c>
      <c r="B46" s="125"/>
      <c r="D46" s="126" t="s">
        <v>3</v>
      </c>
    </row>
    <row r="47" spans="1:6">
      <c r="A47" s="123"/>
      <c r="D47" s="111" t="s">
        <v>2</v>
      </c>
    </row>
    <row r="48" spans="1:6">
      <c r="A48" s="123"/>
    </row>
    <row r="49" spans="1:4">
      <c r="D49" s="2" t="s">
        <v>1</v>
      </c>
    </row>
    <row r="50" spans="1:4">
      <c r="A50" s="151" t="s">
        <v>2948</v>
      </c>
      <c r="D50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 codeName="Sheet96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165</v>
      </c>
    </row>
    <row r="10" spans="1:6">
      <c r="A10" s="1" t="s">
        <v>164</v>
      </c>
      <c r="D10" s="21" t="s">
        <v>21</v>
      </c>
      <c r="E10" s="21" t="s">
        <v>163</v>
      </c>
    </row>
    <row r="11" spans="1:6">
      <c r="A11" s="1" t="s">
        <v>162</v>
      </c>
      <c r="D11" s="21" t="s">
        <v>19</v>
      </c>
      <c r="E11" s="21" t="s">
        <v>18</v>
      </c>
    </row>
    <row r="12" spans="1:6">
      <c r="A12" s="1" t="s">
        <v>161</v>
      </c>
      <c r="D12" s="21" t="s">
        <v>17</v>
      </c>
      <c r="E12" s="20" t="s">
        <v>160</v>
      </c>
    </row>
    <row r="17" spans="1:6" s="15" customFormat="1" ht="20.100000000000001" customHeight="1">
      <c r="A17" s="18" t="s">
        <v>15</v>
      </c>
      <c r="B17" s="18"/>
      <c r="C17" s="19" t="s">
        <v>14</v>
      </c>
      <c r="D17" s="18"/>
      <c r="E17" s="17"/>
      <c r="F17" s="16" t="s">
        <v>13</v>
      </c>
    </row>
    <row r="21" spans="1:6">
      <c r="C21" s="14" t="s">
        <v>159</v>
      </c>
    </row>
    <row r="24" spans="1:6">
      <c r="A24" s="1" t="s">
        <v>158</v>
      </c>
      <c r="B24" s="8"/>
      <c r="C24" s="1" t="s">
        <v>157</v>
      </c>
      <c r="F24" s="1">
        <v>1200</v>
      </c>
    </row>
    <row r="25" spans="1:6">
      <c r="B25" s="8"/>
    </row>
    <row r="26" spans="1:6">
      <c r="A26" s="1" t="s">
        <v>156</v>
      </c>
      <c r="C26" s="1" t="s">
        <v>155</v>
      </c>
      <c r="F26" s="1">
        <v>600</v>
      </c>
    </row>
    <row r="27" spans="1:6">
      <c r="C27" s="1" t="s">
        <v>154</v>
      </c>
      <c r="F27" s="1">
        <v>100</v>
      </c>
    </row>
    <row r="29" spans="1:6">
      <c r="C29" s="1" t="s">
        <v>153</v>
      </c>
    </row>
    <row r="30" spans="1:6">
      <c r="B30" s="8"/>
      <c r="C30" s="1" t="s">
        <v>152</v>
      </c>
    </row>
    <row r="31" spans="1:6">
      <c r="B31" s="8"/>
    </row>
    <row r="33" spans="1:6" ht="13.5" thickBot="1">
      <c r="F33" s="12">
        <f>SUM(F20:F32)</f>
        <v>1900</v>
      </c>
    </row>
    <row r="34" spans="1:6" ht="13.5" thickTop="1"/>
    <row r="35" spans="1:6" ht="20.100000000000001" customHeight="1">
      <c r="A35" s="10" t="s">
        <v>151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564BF-02F0-48CE-ABE1-98F15FA99741}">
  <sheetPr codeName="Sheet579">
    <pageSetUpPr fitToPage="1"/>
  </sheetPr>
  <dimension ref="A1:H55"/>
  <sheetViews>
    <sheetView zoomScaleNormal="100" workbookViewId="0">
      <selection activeCell="G9" sqref="G9:G13"/>
    </sheetView>
  </sheetViews>
  <sheetFormatPr defaultRowHeight="12.75"/>
  <cols>
    <col min="1" max="1" width="15.85546875" style="111" customWidth="1"/>
    <col min="2" max="2" width="15.42578125" style="111" customWidth="1"/>
    <col min="3" max="3" width="1" style="111" customWidth="1"/>
    <col min="4" max="4" width="23" style="111" customWidth="1"/>
    <col min="5" max="5" width="1.42578125" style="111" customWidth="1"/>
    <col min="6" max="6" width="12" style="111" customWidth="1"/>
    <col min="7" max="7" width="9.710937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1239</v>
      </c>
      <c r="G9" s="132" t="s">
        <v>6294</v>
      </c>
    </row>
    <row r="10" spans="1:8">
      <c r="A10" s="111" t="s">
        <v>5973</v>
      </c>
      <c r="F10" s="112" t="s">
        <v>1124</v>
      </c>
      <c r="G10" s="132" t="s">
        <v>6293</v>
      </c>
    </row>
    <row r="11" spans="1:8">
      <c r="A11" s="111" t="s">
        <v>5974</v>
      </c>
      <c r="F11" s="112" t="s">
        <v>1125</v>
      </c>
      <c r="G11" s="132" t="s">
        <v>1094</v>
      </c>
    </row>
    <row r="12" spans="1:8">
      <c r="A12" s="111" t="s">
        <v>5975</v>
      </c>
      <c r="F12" s="112" t="s">
        <v>1096</v>
      </c>
      <c r="G12" s="111" t="s">
        <v>6295</v>
      </c>
    </row>
    <row r="13" spans="1:8">
      <c r="A13" s="111" t="s">
        <v>1744</v>
      </c>
      <c r="G13" s="111" t="s">
        <v>6182</v>
      </c>
    </row>
    <row r="14" spans="1:8">
      <c r="A14" s="111" t="s">
        <v>5976</v>
      </c>
    </row>
    <row r="16" spans="1:8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53"/>
    </row>
    <row r="18" spans="1:8">
      <c r="B18" s="116"/>
      <c r="C18" s="116"/>
      <c r="D18" s="2" t="s">
        <v>6296</v>
      </c>
      <c r="E18" s="2"/>
    </row>
    <row r="20" spans="1:8">
      <c r="A20" s="116" t="s">
        <v>6297</v>
      </c>
      <c r="B20" s="116" t="s">
        <v>6298</v>
      </c>
      <c r="C20" s="116"/>
      <c r="D20" s="111" t="s">
        <v>6299</v>
      </c>
      <c r="H20" s="111">
        <v>3397.8</v>
      </c>
    </row>
    <row r="21" spans="1:8">
      <c r="A21" s="116"/>
      <c r="B21" s="116"/>
      <c r="C21" s="116"/>
      <c r="D21" s="111" t="s">
        <v>6300</v>
      </c>
    </row>
    <row r="22" spans="1:8">
      <c r="A22" s="116"/>
      <c r="B22" s="116"/>
      <c r="C22" s="116"/>
    </row>
    <row r="23" spans="1:8">
      <c r="A23" s="116"/>
      <c r="B23" s="116"/>
      <c r="C23" s="116"/>
      <c r="D23" s="111" t="s">
        <v>6301</v>
      </c>
      <c r="H23" s="111">
        <v>2000</v>
      </c>
    </row>
    <row r="24" spans="1:8">
      <c r="A24" s="116"/>
      <c r="B24" s="116"/>
      <c r="C24" s="116"/>
    </row>
    <row r="25" spans="1:8">
      <c r="A25" s="116"/>
      <c r="B25" s="116"/>
      <c r="C25" s="116"/>
    </row>
    <row r="26" spans="1:8">
      <c r="A26" s="116"/>
      <c r="B26" s="116"/>
      <c r="C26" s="116"/>
    </row>
    <row r="27" spans="1:8">
      <c r="A27" s="116"/>
      <c r="B27" s="116"/>
      <c r="C27" s="116"/>
    </row>
    <row r="29" spans="1:8">
      <c r="A29" s="116"/>
      <c r="B29" s="121"/>
      <c r="C29" s="121"/>
    </row>
    <row r="30" spans="1:8">
      <c r="A30" s="121"/>
      <c r="B30" s="121"/>
      <c r="C30" s="121"/>
    </row>
    <row r="31" spans="1:8">
      <c r="A31" s="116"/>
      <c r="B31" s="121"/>
      <c r="C31" s="121"/>
    </row>
    <row r="32" spans="1:8">
      <c r="A32" s="153"/>
    </row>
    <row r="33" spans="1:8">
      <c r="A33" s="153"/>
    </row>
    <row r="34" spans="1:8">
      <c r="A34" s="153"/>
    </row>
    <row r="35" spans="1:8">
      <c r="A35" s="153"/>
    </row>
    <row r="36" spans="1:8" ht="13.5" thickBot="1">
      <c r="A36" s="153"/>
      <c r="H36" s="117">
        <f>SUM(H18:H34)</f>
        <v>5397.8</v>
      </c>
    </row>
    <row r="37" spans="1:8" ht="13.5" thickTop="1">
      <c r="A37" s="153"/>
    </row>
    <row r="38" spans="1:8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Five Thousand Three Hundred Ninety-Seven and 80/100 -----------</v>
      </c>
      <c r="C38" s="202"/>
      <c r="D38" s="119"/>
      <c r="E38" s="119"/>
      <c r="F38" s="119"/>
      <c r="G38" s="119"/>
      <c r="H38" s="119"/>
    </row>
    <row r="39" spans="1:8">
      <c r="A39" s="120" t="s">
        <v>11</v>
      </c>
    </row>
    <row r="40" spans="1:8" ht="25.5">
      <c r="A40" s="126" t="s">
        <v>10</v>
      </c>
      <c r="F40" s="265" t="s">
        <v>2894</v>
      </c>
      <c r="G40" s="266"/>
      <c r="H40" s="267"/>
    </row>
    <row r="43" spans="1:8">
      <c r="D43" s="121"/>
      <c r="E43" s="121"/>
    </row>
    <row r="44" spans="1:8">
      <c r="A44" s="122"/>
      <c r="B44" s="122"/>
      <c r="C44" s="433"/>
      <c r="D44" s="433"/>
    </row>
    <row r="45" spans="1:8">
      <c r="D45" s="433"/>
    </row>
    <row r="46" spans="1:8">
      <c r="A46" s="123" t="s">
        <v>8</v>
      </c>
      <c r="D46" s="123" t="s">
        <v>8</v>
      </c>
      <c r="F46" s="123" t="s">
        <v>7</v>
      </c>
      <c r="H46" s="124"/>
    </row>
    <row r="50" spans="1:8">
      <c r="A50" s="122"/>
      <c r="B50" s="122"/>
      <c r="C50" s="433"/>
      <c r="D50" s="122"/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D52" s="433"/>
      <c r="F52" s="111" t="s">
        <v>2</v>
      </c>
    </row>
    <row r="53" spans="1:8">
      <c r="D53" s="433"/>
    </row>
    <row r="54" spans="1:8">
      <c r="D54" s="433"/>
      <c r="F54" s="2" t="s">
        <v>1</v>
      </c>
    </row>
    <row r="55" spans="1:8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Sheet135">
    <pageSetUpPr fitToPage="1"/>
  </sheetPr>
  <dimension ref="A1:N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85546875" style="111" customWidth="1"/>
    <col min="2" max="2" width="15.42578125" style="111" customWidth="1"/>
    <col min="3" max="3" width="1.28515625" style="111" customWidth="1"/>
    <col min="4" max="4" width="23" style="111" customWidth="1"/>
    <col min="5" max="5" width="0.85546875" style="111" customWidth="1"/>
    <col min="6" max="6" width="12" style="111" customWidth="1"/>
    <col min="7" max="7" width="9.7109375" style="111" customWidth="1"/>
    <col min="8" max="8" width="13.140625" style="111" customWidth="1"/>
    <col min="9" max="16384" width="9.140625" style="111"/>
  </cols>
  <sheetData>
    <row r="1" spans="1:14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4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4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4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4">
      <c r="A8" s="111" t="s">
        <v>24</v>
      </c>
      <c r="F8" s="22" t="s">
        <v>23</v>
      </c>
    </row>
    <row r="9" spans="1:14">
      <c r="F9" s="112" t="s">
        <v>1239</v>
      </c>
      <c r="G9" s="489" t="s">
        <v>7135</v>
      </c>
    </row>
    <row r="10" spans="1:14">
      <c r="A10" s="111" t="s">
        <v>1151</v>
      </c>
      <c r="F10" s="112" t="s">
        <v>1124</v>
      </c>
      <c r="G10" s="489" t="s">
        <v>7134</v>
      </c>
    </row>
    <row r="11" spans="1:14">
      <c r="A11" s="111" t="s">
        <v>1152</v>
      </c>
      <c r="F11" s="112" t="s">
        <v>1125</v>
      </c>
      <c r="G11" s="489" t="s">
        <v>1094</v>
      </c>
    </row>
    <row r="12" spans="1:14">
      <c r="A12" s="111" t="s">
        <v>1153</v>
      </c>
      <c r="F12" s="112" t="s">
        <v>1096</v>
      </c>
      <c r="G12" s="483" t="s">
        <v>7136</v>
      </c>
    </row>
    <row r="13" spans="1:14">
      <c r="A13" s="111" t="s">
        <v>1154</v>
      </c>
      <c r="G13" s="483" t="s">
        <v>6182</v>
      </c>
    </row>
    <row r="14" spans="1:14">
      <c r="A14" s="111" t="s">
        <v>1155</v>
      </c>
      <c r="B14" s="111" t="s">
        <v>1156</v>
      </c>
      <c r="K14" s="111" t="s">
        <v>5017</v>
      </c>
      <c r="N14" s="111">
        <v>300</v>
      </c>
    </row>
    <row r="15" spans="1:14">
      <c r="K15" s="111" t="s">
        <v>5018</v>
      </c>
    </row>
    <row r="16" spans="1:14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  <c r="K16" s="111" t="s">
        <v>5022</v>
      </c>
      <c r="L16" s="111"/>
      <c r="M16" s="111"/>
      <c r="N16" s="111"/>
    </row>
    <row r="17" spans="1:14">
      <c r="A17" s="153"/>
    </row>
    <row r="18" spans="1:14">
      <c r="D18" s="482" t="s">
        <v>6678</v>
      </c>
      <c r="K18" s="111" t="s">
        <v>5019</v>
      </c>
      <c r="N18" s="111">
        <v>700</v>
      </c>
    </row>
    <row r="19" spans="1:14">
      <c r="K19" s="111" t="s">
        <v>5020</v>
      </c>
    </row>
    <row r="20" spans="1:14">
      <c r="A20" s="485" t="s">
        <v>7137</v>
      </c>
      <c r="B20" s="485" t="s">
        <v>7138</v>
      </c>
      <c r="C20" s="116"/>
      <c r="D20" s="111" t="s">
        <v>7139</v>
      </c>
      <c r="H20" s="111">
        <v>100</v>
      </c>
    </row>
    <row r="21" spans="1:14">
      <c r="D21" s="111" t="s">
        <v>7140</v>
      </c>
      <c r="K21" s="111" t="s">
        <v>5021</v>
      </c>
      <c r="N21" s="111">
        <v>80</v>
      </c>
    </row>
    <row r="22" spans="1:14">
      <c r="A22" s="116"/>
      <c r="B22" s="116"/>
      <c r="C22" s="116"/>
    </row>
    <row r="23" spans="1:14">
      <c r="D23" s="111" t="s">
        <v>7141</v>
      </c>
      <c r="H23" s="111">
        <v>160</v>
      </c>
    </row>
    <row r="25" spans="1:14">
      <c r="A25" s="116"/>
      <c r="B25" s="116"/>
      <c r="C25" s="116"/>
      <c r="D25" s="111" t="s">
        <v>7142</v>
      </c>
      <c r="H25" s="111">
        <v>70</v>
      </c>
    </row>
    <row r="26" spans="1:14">
      <c r="A26" s="116"/>
      <c r="B26" s="116"/>
      <c r="C26" s="116"/>
      <c r="D26" s="111" t="s">
        <v>7143</v>
      </c>
    </row>
    <row r="27" spans="1:14">
      <c r="A27" s="116"/>
      <c r="B27" s="116"/>
      <c r="C27" s="116"/>
    </row>
    <row r="28" spans="1:14" s="483" customFormat="1">
      <c r="A28" s="485"/>
      <c r="B28" s="485"/>
      <c r="C28" s="485"/>
    </row>
    <row r="29" spans="1:14" s="483" customFormat="1">
      <c r="A29" s="485"/>
      <c r="B29" s="485"/>
      <c r="C29" s="485"/>
    </row>
    <row r="32" spans="1:14">
      <c r="A32" s="153"/>
    </row>
    <row r="33" spans="1:8">
      <c r="A33" s="153"/>
    </row>
    <row r="34" spans="1:8">
      <c r="A34" s="153"/>
    </row>
    <row r="35" spans="1:8">
      <c r="A35" s="153"/>
    </row>
    <row r="36" spans="1:8">
      <c r="A36" s="153"/>
    </row>
    <row r="37" spans="1:8" ht="13.5" thickBot="1">
      <c r="A37" s="153"/>
      <c r="H37" s="117">
        <f>SUM(H19:H35)</f>
        <v>330</v>
      </c>
    </row>
    <row r="38" spans="1:8" ht="13.5" thickTop="1">
      <c r="A38" s="153"/>
    </row>
    <row r="39" spans="1:8" ht="20.100000000000001" customHeight="1">
      <c r="A39" s="118" t="s">
        <v>204</v>
      </c>
      <c r="B39" s="202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Three Hundred Thirty and NO/100 -----------</v>
      </c>
      <c r="C39" s="202"/>
      <c r="D39" s="119"/>
      <c r="E39" s="119"/>
      <c r="F39" s="119"/>
      <c r="G39" s="119"/>
      <c r="H39" s="119"/>
    </row>
    <row r="40" spans="1:8">
      <c r="A40" s="120" t="s">
        <v>11</v>
      </c>
    </row>
    <row r="41" spans="1:8" ht="25.5">
      <c r="A41" s="126" t="s">
        <v>10</v>
      </c>
      <c r="F41" s="265" t="s">
        <v>2894</v>
      </c>
      <c r="G41" s="266"/>
      <c r="H41" s="267"/>
    </row>
    <row r="44" spans="1:8">
      <c r="D44" s="121"/>
      <c r="E44" s="121"/>
    </row>
    <row r="45" spans="1:8">
      <c r="A45" s="122"/>
      <c r="B45" s="122"/>
      <c r="C45" s="433"/>
    </row>
    <row r="47" spans="1:8">
      <c r="A47" s="123" t="s">
        <v>8</v>
      </c>
      <c r="D47" s="123" t="s">
        <v>8</v>
      </c>
      <c r="F47" s="123" t="s">
        <v>7</v>
      </c>
      <c r="H47" s="124"/>
    </row>
    <row r="51" spans="1:8">
      <c r="A51" s="122"/>
      <c r="B51" s="122"/>
      <c r="C51" s="433"/>
      <c r="D51" s="122"/>
      <c r="F51" s="122"/>
      <c r="G51" s="122"/>
      <c r="H51" s="122"/>
    </row>
    <row r="52" spans="1:8" s="126" customFormat="1" ht="17.100000000000001" customHeight="1">
      <c r="A52" s="151" t="s">
        <v>2948</v>
      </c>
      <c r="B52" s="125"/>
      <c r="C52" s="125"/>
      <c r="D52" s="151" t="s">
        <v>103</v>
      </c>
      <c r="F52" s="126" t="s">
        <v>3</v>
      </c>
    </row>
    <row r="53" spans="1:8">
      <c r="F53" s="111" t="s">
        <v>2</v>
      </c>
    </row>
    <row r="55" spans="1:8">
      <c r="F55" s="2" t="s">
        <v>1</v>
      </c>
    </row>
    <row r="56" spans="1:8">
      <c r="F56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B9586-CD84-4C23-ACF0-F27D1B997077}">
  <sheetPr codeName="Sheet557"/>
  <dimension ref="A1:P53"/>
  <sheetViews>
    <sheetView view="pageBreakPreview" zoomScale="115" zoomScaleNormal="100" zoomScaleSheetLayoutView="115" workbookViewId="0">
      <selection activeCell="G9" sqref="G9:G13"/>
    </sheetView>
  </sheetViews>
  <sheetFormatPr defaultRowHeight="12.75"/>
  <cols>
    <col min="1" max="1" width="16" style="131" customWidth="1"/>
    <col min="2" max="2" width="13.7109375" style="131" customWidth="1"/>
    <col min="3" max="3" width="1.28515625" style="131" customWidth="1"/>
    <col min="4" max="4" width="19.42578125" style="131" customWidth="1"/>
    <col min="5" max="5" width="1.42578125" style="131" customWidth="1"/>
    <col min="6" max="6" width="15.28515625" style="131" customWidth="1"/>
    <col min="7" max="7" width="7.5703125" style="131" customWidth="1"/>
    <col min="8" max="8" width="13.28515625" style="131" customWidth="1"/>
    <col min="9" max="15" width="9.140625" style="86"/>
    <col min="16" max="16" width="9.7109375" style="86" bestFit="1" customWidth="1"/>
    <col min="17" max="16384" width="9.140625" style="86"/>
  </cols>
  <sheetData>
    <row r="1" spans="1:16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6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6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6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16">
      <c r="A8" s="131" t="s">
        <v>24</v>
      </c>
      <c r="F8" s="87" t="s">
        <v>23</v>
      </c>
      <c r="J8" s="86" t="s">
        <v>5737</v>
      </c>
      <c r="K8" s="86">
        <v>43602</v>
      </c>
      <c r="M8" s="86" t="s">
        <v>1270</v>
      </c>
    </row>
    <row r="9" spans="1:16">
      <c r="F9" s="132" t="s">
        <v>1110</v>
      </c>
      <c r="G9" s="111" t="s">
        <v>5744</v>
      </c>
    </row>
    <row r="10" spans="1:16">
      <c r="A10" s="131" t="s">
        <v>5745</v>
      </c>
      <c r="F10" s="132" t="s">
        <v>1685</v>
      </c>
      <c r="G10" s="112" t="s">
        <v>5738</v>
      </c>
      <c r="J10" s="86" t="s">
        <v>5744</v>
      </c>
      <c r="K10" s="86">
        <v>43595</v>
      </c>
      <c r="M10" s="86" t="s">
        <v>1270</v>
      </c>
    </row>
    <row r="11" spans="1:16">
      <c r="A11" s="131" t="s">
        <v>5746</v>
      </c>
      <c r="F11" s="132" t="s">
        <v>1163</v>
      </c>
      <c r="G11" s="112" t="s">
        <v>1094</v>
      </c>
    </row>
    <row r="12" spans="1:16">
      <c r="A12" s="131" t="s">
        <v>5747</v>
      </c>
      <c r="F12" s="132" t="s">
        <v>1188</v>
      </c>
      <c r="G12" s="112" t="s">
        <v>1270</v>
      </c>
    </row>
    <row r="13" spans="1:16">
      <c r="A13" s="131" t="s">
        <v>5748</v>
      </c>
      <c r="L13" s="131" t="s">
        <v>4741</v>
      </c>
      <c r="M13" s="131"/>
      <c r="N13" s="131"/>
      <c r="O13" s="131"/>
      <c r="P13" s="131">
        <v>3000</v>
      </c>
    </row>
    <row r="14" spans="1:16">
      <c r="L14" s="131" t="s">
        <v>1814</v>
      </c>
      <c r="M14" s="131"/>
      <c r="N14" s="131"/>
      <c r="O14" s="131"/>
      <c r="P14" s="131">
        <f>P13*6%</f>
        <v>180</v>
      </c>
    </row>
    <row r="15" spans="1:16">
      <c r="L15" s="131"/>
      <c r="M15" s="131"/>
      <c r="N15" s="131"/>
      <c r="O15" s="131"/>
      <c r="P15" s="131"/>
    </row>
    <row r="16" spans="1:16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  <c r="L16" s="131" t="s">
        <v>4743</v>
      </c>
      <c r="M16" s="131"/>
      <c r="N16" s="131"/>
      <c r="O16" s="131"/>
      <c r="P16" s="131">
        <f>3000*4</f>
        <v>12000</v>
      </c>
    </row>
    <row r="17" spans="1:16">
      <c r="A17" s="177"/>
      <c r="K17" s="131"/>
      <c r="L17" s="131" t="s">
        <v>4742</v>
      </c>
      <c r="M17" s="131"/>
      <c r="N17" s="131"/>
      <c r="O17" s="131"/>
      <c r="P17" s="131">
        <f>3000*4</f>
        <v>12000</v>
      </c>
    </row>
    <row r="18" spans="1:16">
      <c r="D18" s="110" t="s">
        <v>5749</v>
      </c>
      <c r="E18" s="110"/>
      <c r="K18" s="131"/>
      <c r="L18" s="131" t="s">
        <v>1814</v>
      </c>
      <c r="M18" s="131"/>
      <c r="N18" s="131"/>
      <c r="O18" s="131"/>
      <c r="P18" s="131">
        <f>SUM(P16+P17)*6%</f>
        <v>1440</v>
      </c>
    </row>
    <row r="19" spans="1:16">
      <c r="A19" s="177"/>
      <c r="D19" s="110"/>
      <c r="E19" s="110"/>
      <c r="K19" s="131"/>
      <c r="L19" s="131"/>
      <c r="M19" s="131"/>
      <c r="N19" s="131"/>
      <c r="O19" s="131"/>
    </row>
    <row r="20" spans="1:16">
      <c r="A20" s="254"/>
      <c r="B20" s="158"/>
      <c r="C20" s="158"/>
      <c r="D20" s="131" t="s">
        <v>5750</v>
      </c>
      <c r="H20" s="131">
        <f>2225*4.2155</f>
        <v>9379.4874999999993</v>
      </c>
    </row>
    <row r="21" spans="1:16">
      <c r="A21" s="254"/>
      <c r="B21" s="158"/>
      <c r="C21" s="158"/>
      <c r="D21" s="131" t="s">
        <v>5724</v>
      </c>
    </row>
    <row r="22" spans="1:16">
      <c r="A22" s="254"/>
      <c r="B22" s="141"/>
    </row>
    <row r="23" spans="1:16">
      <c r="A23" s="254"/>
      <c r="B23" s="158"/>
      <c r="D23" s="131" t="s">
        <v>1697</v>
      </c>
      <c r="H23" s="131">
        <v>30</v>
      </c>
    </row>
    <row r="24" spans="1:16">
      <c r="A24" s="254"/>
      <c r="B24" s="158"/>
    </row>
    <row r="25" spans="1:16">
      <c r="A25" s="254"/>
      <c r="B25" s="158"/>
    </row>
    <row r="26" spans="1:16">
      <c r="A26" s="158"/>
      <c r="B26" s="141"/>
    </row>
    <row r="27" spans="1:16">
      <c r="A27" s="158"/>
      <c r="B27" s="141"/>
    </row>
    <row r="28" spans="1:16">
      <c r="D28" s="110"/>
    </row>
    <row r="29" spans="1:16">
      <c r="A29" s="158"/>
      <c r="B29" s="141"/>
    </row>
    <row r="30" spans="1:16">
      <c r="A30" s="254"/>
      <c r="B30" s="158"/>
    </row>
    <row r="31" spans="1:16">
      <c r="A31" s="158"/>
      <c r="B31" s="141"/>
    </row>
    <row r="32" spans="1:16">
      <c r="A32" s="158"/>
      <c r="B32" s="158"/>
      <c r="C32" s="86"/>
    </row>
    <row r="33" spans="1:8">
      <c r="A33" s="177"/>
      <c r="H33" s="86"/>
    </row>
    <row r="34" spans="1:8" ht="13.5" thickBot="1">
      <c r="A34" s="177"/>
      <c r="H34" s="164">
        <f>SUM(H19:H32)</f>
        <v>9409.4874999999993</v>
      </c>
    </row>
    <row r="35" spans="1:8" ht="13.5" thickTop="1">
      <c r="A35" s="177"/>
    </row>
    <row r="36" spans="1:8" ht="20.100000000000001" customHeight="1">
      <c r="A36" s="138" t="s">
        <v>1686</v>
      </c>
      <c r="B36" s="204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Nine Thousand Four Hundred Nine and 49/100 -----------</v>
      </c>
      <c r="C36" s="204"/>
      <c r="D36" s="139"/>
      <c r="E36" s="139"/>
      <c r="F36" s="139"/>
      <c r="G36" s="139"/>
      <c r="H36" s="139"/>
    </row>
    <row r="37" spans="1:8">
      <c r="A37" s="140"/>
    </row>
    <row r="38" spans="1:8" ht="25.5">
      <c r="A38" s="131" t="s">
        <v>10</v>
      </c>
      <c r="F38" s="283" t="s">
        <v>2894</v>
      </c>
      <c r="G38" s="284"/>
      <c r="H38" s="285"/>
    </row>
    <row r="40" spans="1:8">
      <c r="F40" s="291"/>
      <c r="G40" s="291"/>
      <c r="H40" s="291"/>
    </row>
    <row r="41" spans="1:8">
      <c r="A41" s="131" t="s">
        <v>51</v>
      </c>
      <c r="D41" s="141"/>
      <c r="E41" s="141"/>
      <c r="F41" s="286"/>
      <c r="G41" s="287"/>
      <c r="H41" s="287"/>
    </row>
    <row r="42" spans="1:8">
      <c r="A42" s="104"/>
      <c r="B42" s="142"/>
    </row>
    <row r="44" spans="1:8">
      <c r="A44" s="131" t="s">
        <v>8</v>
      </c>
      <c r="D44" s="131" t="s">
        <v>8</v>
      </c>
      <c r="F44" s="143" t="s">
        <v>7</v>
      </c>
      <c r="H44" s="144"/>
    </row>
    <row r="48" spans="1:8">
      <c r="A48" s="142"/>
      <c r="B48" s="142"/>
      <c r="D48" s="142"/>
      <c r="F48" s="142"/>
      <c r="G48" s="142"/>
      <c r="H48" s="142"/>
    </row>
    <row r="49" spans="1:8" s="109" customFormat="1" ht="17.100000000000001" customHeight="1">
      <c r="A49" s="131" t="s">
        <v>2948</v>
      </c>
      <c r="B49" s="146"/>
      <c r="C49" s="146"/>
      <c r="D49" s="131" t="s">
        <v>103</v>
      </c>
      <c r="E49" s="147"/>
      <c r="F49" s="147" t="s">
        <v>3</v>
      </c>
      <c r="G49" s="147"/>
      <c r="H49" s="147"/>
    </row>
    <row r="50" spans="1:8">
      <c r="F50" s="131" t="s">
        <v>2</v>
      </c>
    </row>
    <row r="52" spans="1:8">
      <c r="F52" s="110" t="s">
        <v>1</v>
      </c>
    </row>
    <row r="53" spans="1:8">
      <c r="F53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 codeName="Sheet1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180</v>
      </c>
    </row>
    <row r="10" spans="1:6">
      <c r="A10" s="1" t="s">
        <v>179</v>
      </c>
      <c r="D10" s="21" t="s">
        <v>21</v>
      </c>
      <c r="E10" s="21" t="s">
        <v>178</v>
      </c>
    </row>
    <row r="11" spans="1:6">
      <c r="A11" s="1" t="s">
        <v>177</v>
      </c>
      <c r="D11" s="21" t="s">
        <v>19</v>
      </c>
      <c r="E11" s="21" t="s">
        <v>18</v>
      </c>
    </row>
    <row r="12" spans="1:6">
      <c r="A12" s="1" t="s">
        <v>176</v>
      </c>
      <c r="D12" s="21" t="s">
        <v>17</v>
      </c>
      <c r="E12" s="21" t="s">
        <v>175</v>
      </c>
    </row>
    <row r="13" spans="1:6">
      <c r="A13" s="1" t="s">
        <v>174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173</v>
      </c>
    </row>
    <row r="20" spans="1:6">
      <c r="C20" s="14" t="s">
        <v>172</v>
      </c>
    </row>
    <row r="22" spans="1:6">
      <c r="A22" s="1" t="s">
        <v>171</v>
      </c>
      <c r="C22" s="1" t="s">
        <v>170</v>
      </c>
    </row>
    <row r="23" spans="1:6">
      <c r="C23" s="1" t="s">
        <v>169</v>
      </c>
    </row>
    <row r="25" spans="1:6">
      <c r="C25" s="1" t="s">
        <v>168</v>
      </c>
      <c r="F25" s="1">
        <v>14689.14</v>
      </c>
    </row>
    <row r="27" spans="1:6">
      <c r="C27" s="1" t="s">
        <v>167</v>
      </c>
      <c r="F27" s="1">
        <v>30</v>
      </c>
    </row>
    <row r="33" spans="1:6" ht="13.5" thickBot="1">
      <c r="F33" s="12">
        <f>SUM(F20:F32)</f>
        <v>14719.14</v>
      </c>
    </row>
    <row r="34" spans="1:6" ht="13.5" thickTop="1"/>
    <row r="35" spans="1:6" ht="20.100000000000001" customHeight="1">
      <c r="A35" s="10" t="s">
        <v>166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Sheet2">
    <pageSetUpPr fitToPage="1"/>
  </sheetPr>
  <dimension ref="A1:F52"/>
  <sheetViews>
    <sheetView topLeftCell="A25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180</v>
      </c>
    </row>
    <row r="10" spans="1:6">
      <c r="A10" s="1" t="s">
        <v>179</v>
      </c>
      <c r="D10" s="21" t="s">
        <v>21</v>
      </c>
      <c r="E10" s="21" t="s">
        <v>178</v>
      </c>
    </row>
    <row r="11" spans="1:6">
      <c r="A11" s="1" t="s">
        <v>177</v>
      </c>
      <c r="D11" s="21" t="s">
        <v>19</v>
      </c>
      <c r="E11" s="21" t="s">
        <v>18</v>
      </c>
    </row>
    <row r="12" spans="1:6">
      <c r="A12" s="1" t="s">
        <v>176</v>
      </c>
      <c r="D12" s="21" t="s">
        <v>17</v>
      </c>
      <c r="E12" s="21" t="s">
        <v>175</v>
      </c>
    </row>
    <row r="13" spans="1:6">
      <c r="A13" s="1" t="s">
        <v>174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173</v>
      </c>
    </row>
    <row r="20" spans="1:6">
      <c r="C20" s="14" t="s">
        <v>172</v>
      </c>
    </row>
    <row r="22" spans="1:6">
      <c r="A22" s="1" t="s">
        <v>171</v>
      </c>
      <c r="C22" s="1" t="s">
        <v>170</v>
      </c>
    </row>
    <row r="23" spans="1:6">
      <c r="C23" s="1" t="s">
        <v>169</v>
      </c>
    </row>
    <row r="25" spans="1:6">
      <c r="C25" s="1" t="s">
        <v>168</v>
      </c>
      <c r="F25" s="1">
        <v>14689.14</v>
      </c>
    </row>
    <row r="27" spans="1:6">
      <c r="C27" s="1" t="s">
        <v>167</v>
      </c>
      <c r="F27" s="1">
        <v>30</v>
      </c>
    </row>
    <row r="33" spans="1:6" ht="13.5" thickBot="1">
      <c r="F33" s="12">
        <f>SUM(F20:F32)</f>
        <v>14719.14</v>
      </c>
    </row>
    <row r="34" spans="1:6" ht="13.5" thickTop="1"/>
    <row r="35" spans="1:6" ht="20.100000000000001" customHeight="1">
      <c r="A35" s="10" t="s">
        <v>166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 codeName="Sheet14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187</v>
      </c>
    </row>
    <row r="10" spans="1:6">
      <c r="A10" s="1" t="s">
        <v>186</v>
      </c>
      <c r="D10" s="21" t="s">
        <v>21</v>
      </c>
      <c r="E10" s="21" t="s">
        <v>185</v>
      </c>
    </row>
    <row r="11" spans="1:6">
      <c r="D11" s="21" t="s">
        <v>19</v>
      </c>
      <c r="E11" s="21" t="s">
        <v>18</v>
      </c>
    </row>
    <row r="12" spans="1:6">
      <c r="D12" s="21" t="s">
        <v>17</v>
      </c>
      <c r="E12" s="20" t="s">
        <v>184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0" spans="2:6">
      <c r="C20" s="13"/>
    </row>
    <row r="21" spans="2:6">
      <c r="C21" s="13"/>
    </row>
    <row r="22" spans="2:6">
      <c r="B22" s="8"/>
      <c r="C22" s="1" t="s">
        <v>183</v>
      </c>
      <c r="F22" s="1">
        <v>300</v>
      </c>
    </row>
    <row r="23" spans="2:6">
      <c r="C23" s="8" t="s">
        <v>182</v>
      </c>
    </row>
    <row r="24" spans="2:6">
      <c r="B24" s="8"/>
    </row>
    <row r="25" spans="2:6">
      <c r="B25" s="8"/>
    </row>
    <row r="26" spans="2:6">
      <c r="B26" s="8"/>
    </row>
    <row r="27" spans="2:6">
      <c r="B27" s="8"/>
      <c r="C27" s="8"/>
    </row>
    <row r="28" spans="2:6">
      <c r="B28" s="8"/>
    </row>
    <row r="33" spans="1:6" ht="13.5" thickBot="1">
      <c r="F33" s="12">
        <f>SUM(F20:F32)</f>
        <v>300</v>
      </c>
    </row>
    <row r="34" spans="1:6" ht="13.5" thickTop="1"/>
    <row r="35" spans="1:6" ht="20.100000000000001" customHeight="1">
      <c r="A35" s="10" t="s">
        <v>181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Sheet219">
    <pageSetUpPr fitToPage="1"/>
  </sheetPr>
  <dimension ref="A1:F50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2293</v>
      </c>
    </row>
    <row r="10" spans="1:6">
      <c r="A10" s="111" t="s">
        <v>1964</v>
      </c>
      <c r="D10" s="112" t="s">
        <v>1162</v>
      </c>
      <c r="E10" s="112" t="s">
        <v>2292</v>
      </c>
    </row>
    <row r="11" spans="1:6">
      <c r="A11" s="111" t="s">
        <v>1965</v>
      </c>
      <c r="D11" s="112" t="s">
        <v>1163</v>
      </c>
      <c r="E11" s="112" t="s">
        <v>1094</v>
      </c>
    </row>
    <row r="12" spans="1:6">
      <c r="A12" s="111" t="s">
        <v>1966</v>
      </c>
      <c r="D12" s="112" t="s">
        <v>1135</v>
      </c>
      <c r="E12" s="112" t="s">
        <v>2294</v>
      </c>
    </row>
    <row r="13" spans="1:6">
      <c r="A13" s="111" t="s">
        <v>1354</v>
      </c>
    </row>
    <row r="14" spans="1:6">
      <c r="A14" s="111" t="s">
        <v>1967</v>
      </c>
    </row>
    <row r="15" spans="1:6">
      <c r="A15" s="111" t="s">
        <v>1968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2295</v>
      </c>
    </row>
    <row r="19" spans="1:6">
      <c r="A19" s="161"/>
      <c r="B19" s="116"/>
    </row>
    <row r="20" spans="1:6">
      <c r="A20" s="116" t="s">
        <v>2296</v>
      </c>
      <c r="B20" s="121"/>
      <c r="C20" s="111" t="s">
        <v>2297</v>
      </c>
      <c r="F20" s="111">
        <v>1200</v>
      </c>
    </row>
    <row r="27" spans="1:6">
      <c r="F27" s="2"/>
    </row>
    <row r="28" spans="1:6">
      <c r="B28" s="120"/>
    </row>
    <row r="29" spans="1:6">
      <c r="B29" s="120"/>
    </row>
    <row r="31" spans="1:6" ht="13.5" thickBot="1">
      <c r="F31" s="127">
        <f>SUM(F19:F30)</f>
        <v>1200</v>
      </c>
    </row>
    <row r="32" spans="1:6" ht="13.5" thickTop="1"/>
    <row r="33" spans="1:6" ht="20.100000000000001" customHeight="1" thickBot="1">
      <c r="A33" s="118" t="s">
        <v>1133</v>
      </c>
      <c r="B33" s="118" t="s">
        <v>2180</v>
      </c>
      <c r="C33" s="119"/>
      <c r="D33" s="119"/>
      <c r="E33" s="119"/>
      <c r="F33" s="117">
        <f>SUM(F20:F32)</f>
        <v>2400</v>
      </c>
    </row>
    <row r="34" spans="1:6" ht="13.5" thickTop="1">
      <c r="A34" s="120"/>
    </row>
    <row r="35" spans="1:6">
      <c r="A35" s="123" t="s">
        <v>10</v>
      </c>
    </row>
    <row r="36" spans="1:6">
      <c r="A36" s="123"/>
    </row>
    <row r="37" spans="1:6">
      <c r="A37" s="123"/>
    </row>
    <row r="38" spans="1:6">
      <c r="A38" s="123"/>
      <c r="C38" s="121"/>
    </row>
    <row r="39" spans="1:6" ht="25.5">
      <c r="A39" s="270"/>
      <c r="B39" s="122"/>
      <c r="D39" s="265" t="s">
        <v>2894</v>
      </c>
      <c r="E39" s="266"/>
      <c r="F39" s="267"/>
    </row>
    <row r="41" spans="1:6">
      <c r="A41" s="123" t="s">
        <v>8</v>
      </c>
      <c r="D41" s="123" t="s">
        <v>7</v>
      </c>
      <c r="F41" s="124"/>
    </row>
    <row r="42" spans="1:6">
      <c r="A42" s="123"/>
    </row>
    <row r="43" spans="1:6">
      <c r="A43" s="123"/>
    </row>
    <row r="44" spans="1:6">
      <c r="A44" s="123"/>
    </row>
    <row r="45" spans="1:6">
      <c r="A45" s="150"/>
      <c r="B45" s="122"/>
      <c r="D45" s="122"/>
      <c r="E45" s="122"/>
      <c r="F45" s="122"/>
    </row>
    <row r="46" spans="1:6" s="126" customFormat="1" ht="17.100000000000001" customHeight="1">
      <c r="A46" s="151" t="s">
        <v>4</v>
      </c>
      <c r="B46" s="125"/>
      <c r="D46" s="126" t="s">
        <v>3</v>
      </c>
    </row>
    <row r="47" spans="1:6">
      <c r="A47" s="123"/>
      <c r="D47" s="111" t="s">
        <v>2</v>
      </c>
    </row>
    <row r="48" spans="1:6">
      <c r="A48" s="123"/>
    </row>
    <row r="49" spans="1:4">
      <c r="D49" s="2" t="s">
        <v>1</v>
      </c>
    </row>
    <row r="50" spans="1:4">
      <c r="A50" s="151" t="s">
        <v>2948</v>
      </c>
      <c r="D50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Sheet240">
    <pageSetUpPr fitToPage="1"/>
  </sheetPr>
  <dimension ref="A1:F50"/>
  <sheetViews>
    <sheetView topLeftCell="A13" workbookViewId="0">
      <selection activeCell="G9" sqref="G9:G13"/>
    </sheetView>
  </sheetViews>
  <sheetFormatPr defaultRowHeight="12.75"/>
  <cols>
    <col min="1" max="1" width="15.42578125" style="111" customWidth="1"/>
    <col min="2" max="2" width="14.5703125" style="111" customWidth="1"/>
    <col min="3" max="3" width="23" style="111" customWidth="1"/>
    <col min="4" max="4" width="12.85546875" style="111" customWidth="1"/>
    <col min="5" max="5" width="8.85546875" style="111" customWidth="1"/>
    <col min="6" max="6" width="13.57031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2086</v>
      </c>
    </row>
    <row r="10" spans="1:6">
      <c r="A10" s="111" t="s">
        <v>2088</v>
      </c>
      <c r="D10" s="112" t="s">
        <v>1162</v>
      </c>
      <c r="E10" s="123" t="s">
        <v>2085</v>
      </c>
    </row>
    <row r="11" spans="1:6">
      <c r="A11" s="111" t="s">
        <v>2089</v>
      </c>
      <c r="D11" s="112" t="s">
        <v>1187</v>
      </c>
      <c r="E11" s="112" t="s">
        <v>1094</v>
      </c>
    </row>
    <row r="12" spans="1:6">
      <c r="A12" s="111" t="s">
        <v>2090</v>
      </c>
      <c r="D12" s="112" t="s">
        <v>1188</v>
      </c>
      <c r="E12" s="112" t="s">
        <v>2087</v>
      </c>
    </row>
    <row r="13" spans="1:6">
      <c r="A13" s="111" t="s">
        <v>2091</v>
      </c>
    </row>
    <row r="14" spans="1:6">
      <c r="A14" s="111" t="s">
        <v>2092</v>
      </c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8" spans="1:6">
      <c r="A18" s="116" t="s">
        <v>2079</v>
      </c>
      <c r="B18" s="116" t="s">
        <v>2093</v>
      </c>
      <c r="C18" s="120" t="s">
        <v>2096</v>
      </c>
      <c r="F18" s="111">
        <f>15*11</f>
        <v>165</v>
      </c>
    </row>
    <row r="19" spans="1:6">
      <c r="C19" s="111" t="s">
        <v>2095</v>
      </c>
    </row>
    <row r="24" spans="1:6">
      <c r="A24" s="116"/>
      <c r="B24" s="116"/>
    </row>
    <row r="27" spans="1:6">
      <c r="B27" s="120"/>
    </row>
    <row r="28" spans="1:6">
      <c r="B28" s="120"/>
    </row>
    <row r="30" spans="1:6" ht="13.5" thickBot="1">
      <c r="F30" s="127">
        <f>SUM(F18:F29)</f>
        <v>165</v>
      </c>
    </row>
    <row r="31" spans="1:6" ht="13.5" thickTop="1"/>
    <row r="32" spans="1:6" ht="20.100000000000001" customHeight="1">
      <c r="A32" s="118" t="s">
        <v>204</v>
      </c>
      <c r="B32" s="118" t="s">
        <v>2094</v>
      </c>
      <c r="C32" s="119"/>
      <c r="D32" s="119"/>
      <c r="E32" s="119"/>
    </row>
    <row r="33" spans="1:6" ht="13.5" thickBot="1">
      <c r="A33" s="120"/>
      <c r="F33" s="259">
        <f>SUM(F20:F32)</f>
        <v>165</v>
      </c>
    </row>
    <row r="34" spans="1:6" ht="13.5" thickTop="1">
      <c r="A34" s="111" t="s">
        <v>10</v>
      </c>
    </row>
    <row r="37" spans="1:6">
      <c r="C37" s="121"/>
    </row>
    <row r="38" spans="1:6">
      <c r="A38" s="122"/>
      <c r="B38" s="122"/>
    </row>
    <row r="39" spans="1:6" ht="25.5">
      <c r="A39" s="126"/>
      <c r="D39" s="265" t="s">
        <v>2894</v>
      </c>
      <c r="E39" s="266"/>
      <c r="F39" s="267"/>
    </row>
    <row r="40" spans="1:6">
      <c r="A40" s="123" t="s">
        <v>8</v>
      </c>
      <c r="F40" s="124"/>
    </row>
    <row r="44" spans="1:6">
      <c r="A44" s="122"/>
      <c r="B44" s="122"/>
      <c r="D44" s="122"/>
      <c r="E44" s="122"/>
      <c r="F44" s="122"/>
    </row>
    <row r="45" spans="1:6" s="126" customFormat="1" ht="17.100000000000001" customHeight="1">
      <c r="A45" s="125" t="s">
        <v>4</v>
      </c>
      <c r="B45" s="125"/>
      <c r="D45" s="126" t="s">
        <v>3</v>
      </c>
    </row>
    <row r="46" spans="1:6">
      <c r="D46" s="111" t="s">
        <v>2</v>
      </c>
    </row>
    <row r="48" spans="1:6">
      <c r="D48" s="2" t="s">
        <v>1</v>
      </c>
    </row>
    <row r="49" spans="1:4">
      <c r="D49" s="2" t="s">
        <v>0</v>
      </c>
    </row>
    <row r="50" spans="1:4">
      <c r="A50" s="151" t="s">
        <v>2948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Sheet241">
    <pageSetUpPr fitToPage="1"/>
  </sheetPr>
  <dimension ref="A1:F52"/>
  <sheetViews>
    <sheetView topLeftCell="A7" workbookViewId="0">
      <selection activeCell="G9" sqref="G9:G13"/>
    </sheetView>
  </sheetViews>
  <sheetFormatPr defaultRowHeight="12.75"/>
  <cols>
    <col min="1" max="1" width="16.28515625" style="111" customWidth="1"/>
    <col min="2" max="2" width="14.5703125" style="111" customWidth="1"/>
    <col min="3" max="3" width="23" style="111" customWidth="1"/>
    <col min="4" max="4" width="12.85546875" style="111" customWidth="1"/>
    <col min="5" max="5" width="8.85546875" style="111" customWidth="1"/>
    <col min="6" max="6" width="13.57031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31" t="s">
        <v>4714</v>
      </c>
    </row>
    <row r="10" spans="1:6">
      <c r="A10" s="111" t="s">
        <v>2143</v>
      </c>
      <c r="D10" s="112" t="s">
        <v>1162</v>
      </c>
      <c r="E10" s="143" t="s">
        <v>4713</v>
      </c>
    </row>
    <row r="11" spans="1:6">
      <c r="A11" s="111" t="s">
        <v>2144</v>
      </c>
      <c r="D11" s="112" t="s">
        <v>1187</v>
      </c>
      <c r="E11" s="132" t="s">
        <v>1094</v>
      </c>
    </row>
    <row r="12" spans="1:6">
      <c r="A12" s="111" t="s">
        <v>1572</v>
      </c>
      <c r="D12" s="112" t="s">
        <v>1188</v>
      </c>
      <c r="E12" s="132" t="s">
        <v>4715</v>
      </c>
    </row>
    <row r="13" spans="1:6">
      <c r="A13" s="111" t="s">
        <v>2145</v>
      </c>
      <c r="E13" s="131"/>
    </row>
    <row r="14" spans="1:6">
      <c r="A14" s="111" t="s">
        <v>2146</v>
      </c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8" spans="1:6">
      <c r="A18" s="116"/>
      <c r="B18" s="116"/>
      <c r="C18" s="2" t="s">
        <v>3230</v>
      </c>
    </row>
    <row r="20" spans="1:6">
      <c r="A20" s="116" t="s">
        <v>4707</v>
      </c>
      <c r="B20" s="116" t="s">
        <v>4716</v>
      </c>
      <c r="C20" s="111" t="s">
        <v>4717</v>
      </c>
      <c r="F20" s="111">
        <v>196</v>
      </c>
    </row>
    <row r="21" spans="1:6">
      <c r="C21" s="111" t="s">
        <v>1814</v>
      </c>
      <c r="F21" s="111">
        <f>F20*6%</f>
        <v>11.76</v>
      </c>
    </row>
    <row r="22" spans="1:6">
      <c r="A22" s="116"/>
      <c r="B22" s="116"/>
      <c r="C22" s="120"/>
    </row>
    <row r="23" spans="1:6">
      <c r="A23" s="116"/>
      <c r="B23" s="116"/>
      <c r="C23" s="120"/>
    </row>
    <row r="27" spans="1:6">
      <c r="A27" s="116"/>
      <c r="B27" s="116"/>
    </row>
    <row r="30" spans="1:6">
      <c r="B30" s="120"/>
    </row>
    <row r="31" spans="1:6">
      <c r="B31" s="120"/>
    </row>
    <row r="33" spans="1:6" ht="13.5" thickBot="1">
      <c r="F33" s="127">
        <f>SUM(F18:F32)</f>
        <v>207.76</v>
      </c>
    </row>
    <row r="34" spans="1:6" ht="13.5" thickTop="1"/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Hundred Seven and 76/100 -----------</v>
      </c>
      <c r="C35" s="119"/>
      <c r="D35" s="119"/>
      <c r="E35" s="119"/>
      <c r="F35" s="261"/>
    </row>
    <row r="36" spans="1:6">
      <c r="A36" s="120"/>
      <c r="F36" s="263"/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1" spans="1:6">
      <c r="A41" s="122"/>
      <c r="B41" s="122"/>
    </row>
    <row r="42" spans="1:6">
      <c r="D42" s="123" t="s">
        <v>7</v>
      </c>
    </row>
    <row r="43" spans="1:6">
      <c r="A43" s="123" t="s">
        <v>8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Sheet242">
    <pageSetUpPr fitToPage="1"/>
  </sheetPr>
  <dimension ref="A1:F53"/>
  <sheetViews>
    <sheetView topLeftCell="A13" workbookViewId="0">
      <selection activeCell="G9" sqref="G9:G13"/>
    </sheetView>
  </sheetViews>
  <sheetFormatPr defaultRowHeight="12.75"/>
  <cols>
    <col min="1" max="1" width="14.28515625" style="111" customWidth="1"/>
    <col min="2" max="2" width="14" style="111" customWidth="1"/>
    <col min="3" max="3" width="23" style="111" customWidth="1"/>
    <col min="4" max="4" width="12" style="111" customWidth="1"/>
    <col min="5" max="5" width="9.710937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1239</v>
      </c>
      <c r="E9" s="111" t="s">
        <v>2576</v>
      </c>
    </row>
    <row r="10" spans="1:6">
      <c r="A10" s="111" t="s">
        <v>2183</v>
      </c>
      <c r="D10" s="112" t="s">
        <v>1124</v>
      </c>
      <c r="E10" s="112" t="s">
        <v>2563</v>
      </c>
    </row>
    <row r="11" spans="1:6">
      <c r="A11" s="111" t="s">
        <v>2184</v>
      </c>
      <c r="D11" s="112" t="s">
        <v>1125</v>
      </c>
      <c r="E11" s="112" t="s">
        <v>1094</v>
      </c>
    </row>
    <row r="12" spans="1:6">
      <c r="A12" s="111" t="s">
        <v>2185</v>
      </c>
      <c r="D12" s="112" t="s">
        <v>1096</v>
      </c>
      <c r="E12" s="112" t="s">
        <v>2577</v>
      </c>
    </row>
    <row r="13" spans="1:6">
      <c r="A13" s="111" t="s">
        <v>2011</v>
      </c>
      <c r="E13" s="131"/>
    </row>
    <row r="14" spans="1:6">
      <c r="A14" s="111" t="s">
        <v>2186</v>
      </c>
      <c r="B14" s="111" t="s">
        <v>2187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A18" s="116"/>
      <c r="B18" s="116"/>
      <c r="C18" s="2" t="s">
        <v>2578</v>
      </c>
    </row>
    <row r="19" spans="1:6">
      <c r="A19" s="116"/>
      <c r="B19" s="116"/>
      <c r="C19" s="2"/>
    </row>
    <row r="20" spans="1:6">
      <c r="A20" s="116" t="s">
        <v>2575</v>
      </c>
      <c r="B20" s="121" t="s">
        <v>2579</v>
      </c>
      <c r="C20" s="111" t="s">
        <v>2350</v>
      </c>
      <c r="F20" s="111">
        <v>50</v>
      </c>
    </row>
    <row r="21" spans="1:6">
      <c r="C21" s="111" t="s">
        <v>2351</v>
      </c>
      <c r="F21" s="111">
        <v>50</v>
      </c>
    </row>
    <row r="22" spans="1:6">
      <c r="A22" s="116"/>
      <c r="B22" s="116"/>
      <c r="C22" s="111" t="s">
        <v>2352</v>
      </c>
      <c r="F22" s="111">
        <v>50</v>
      </c>
    </row>
    <row r="23" spans="1:6">
      <c r="C23" s="111" t="s">
        <v>2353</v>
      </c>
      <c r="F23" s="111">
        <v>60</v>
      </c>
    </row>
    <row r="24" spans="1:6">
      <c r="C24" s="111" t="s">
        <v>2212</v>
      </c>
      <c r="F24" s="111">
        <v>60</v>
      </c>
    </row>
    <row r="28" spans="1:6">
      <c r="C28" s="2"/>
    </row>
    <row r="31" spans="1:6">
      <c r="A31" s="153"/>
    </row>
    <row r="32" spans="1:6">
      <c r="A32" s="153"/>
    </row>
    <row r="33" spans="1:6" ht="13.5" thickBot="1">
      <c r="A33" s="153"/>
      <c r="F33" s="117">
        <f>SUM(F20:F32)</f>
        <v>270</v>
      </c>
    </row>
    <row r="34" spans="1:6" ht="14.25" thickTop="1" thickBot="1">
      <c r="A34" s="153"/>
      <c r="F34" s="127">
        <f>SUM(F18:F33)</f>
        <v>540</v>
      </c>
    </row>
    <row r="35" spans="1:6" ht="13.5" thickTop="1">
      <c r="A35" s="153"/>
    </row>
    <row r="36" spans="1:6" ht="20.100000000000001" customHeight="1">
      <c r="A36" s="118" t="s">
        <v>204</v>
      </c>
      <c r="B36" s="202" t="s">
        <v>2354</v>
      </c>
      <c r="C36" s="119"/>
      <c r="D36" s="119"/>
      <c r="E36" s="119"/>
      <c r="F36" s="119"/>
    </row>
    <row r="37" spans="1:6">
      <c r="A37" s="120" t="s">
        <v>11</v>
      </c>
    </row>
    <row r="38" spans="1:6">
      <c r="A38" s="111" t="s">
        <v>10</v>
      </c>
    </row>
    <row r="39" spans="1:6" ht="25.5">
      <c r="A39" s="126"/>
      <c r="D39" s="265" t="s">
        <v>2894</v>
      </c>
      <c r="E39" s="266"/>
      <c r="F39" s="267"/>
    </row>
    <row r="41" spans="1:6">
      <c r="C41" s="121"/>
    </row>
    <row r="42" spans="1:6">
      <c r="A42" s="122"/>
      <c r="B42" s="122"/>
    </row>
    <row r="44" spans="1:6">
      <c r="A44" s="123" t="s">
        <v>8</v>
      </c>
      <c r="D44" s="123" t="s">
        <v>7</v>
      </c>
      <c r="F44" s="124"/>
    </row>
    <row r="48" spans="1:6">
      <c r="A48" s="122"/>
      <c r="B48" s="122"/>
      <c r="D48" s="122"/>
      <c r="E48" s="122"/>
      <c r="F48" s="122"/>
    </row>
    <row r="49" spans="1:4" s="126" customFormat="1" ht="17.100000000000001" customHeight="1">
      <c r="A49" s="125" t="s">
        <v>4</v>
      </c>
      <c r="B49" s="125"/>
      <c r="D49" s="126" t="s">
        <v>3</v>
      </c>
    </row>
    <row r="50" spans="1:4">
      <c r="A50" s="151" t="s">
        <v>2948</v>
      </c>
      <c r="D50" s="111" t="s">
        <v>2</v>
      </c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Sheet277">
    <pageSetUpPr fitToPage="1"/>
  </sheetPr>
  <dimension ref="A1:F53"/>
  <sheetViews>
    <sheetView workbookViewId="0">
      <selection activeCell="G9" sqref="G9:G13"/>
    </sheetView>
  </sheetViews>
  <sheetFormatPr defaultRowHeight="12.75"/>
  <cols>
    <col min="1" max="1" width="14.28515625" style="111" customWidth="1"/>
    <col min="2" max="2" width="14" style="111" customWidth="1"/>
    <col min="3" max="3" width="23" style="111" customWidth="1"/>
    <col min="4" max="4" width="12" style="111" customWidth="1"/>
    <col min="5" max="5" width="9.710937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1239</v>
      </c>
      <c r="E9" s="111" t="s">
        <v>2550</v>
      </c>
    </row>
    <row r="10" spans="1:6">
      <c r="A10" s="111" t="s">
        <v>2183</v>
      </c>
      <c r="D10" s="112" t="s">
        <v>1124</v>
      </c>
      <c r="E10" s="112" t="s">
        <v>2549</v>
      </c>
    </row>
    <row r="11" spans="1:6">
      <c r="A11" s="111" t="s">
        <v>2184</v>
      </c>
      <c r="D11" s="112" t="s">
        <v>1125</v>
      </c>
      <c r="E11" s="112" t="s">
        <v>1094</v>
      </c>
    </row>
    <row r="12" spans="1:6">
      <c r="A12" s="111" t="s">
        <v>2185</v>
      </c>
      <c r="D12" s="112" t="s">
        <v>1096</v>
      </c>
      <c r="E12" s="112" t="s">
        <v>2551</v>
      </c>
    </row>
    <row r="13" spans="1:6">
      <c r="A13" s="111" t="s">
        <v>2011</v>
      </c>
      <c r="E13" s="131"/>
    </row>
    <row r="14" spans="1:6">
      <c r="A14" s="111" t="s">
        <v>2186</v>
      </c>
      <c r="B14" s="111" t="s">
        <v>2187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A18" s="116"/>
      <c r="B18" s="116"/>
      <c r="C18" s="2" t="s">
        <v>2552</v>
      </c>
    </row>
    <row r="19" spans="1:6">
      <c r="A19" s="116"/>
      <c r="B19" s="116"/>
      <c r="C19" s="2"/>
    </row>
    <row r="20" spans="1:6">
      <c r="A20" s="116" t="s">
        <v>2553</v>
      </c>
      <c r="B20" s="121" t="s">
        <v>2554</v>
      </c>
      <c r="C20" s="111" t="s">
        <v>2350</v>
      </c>
      <c r="F20" s="111">
        <v>25</v>
      </c>
    </row>
    <row r="21" spans="1:6">
      <c r="C21" s="111" t="s">
        <v>2555</v>
      </c>
      <c r="F21" s="111">
        <v>10</v>
      </c>
    </row>
    <row r="22" spans="1:6">
      <c r="C22" s="111" t="s">
        <v>2212</v>
      </c>
      <c r="F22" s="111">
        <v>60</v>
      </c>
    </row>
    <row r="23" spans="1:6">
      <c r="A23" s="116"/>
      <c r="B23" s="116"/>
    </row>
    <row r="28" spans="1:6">
      <c r="C28" s="2"/>
    </row>
    <row r="31" spans="1:6">
      <c r="A31" s="153"/>
    </row>
    <row r="32" spans="1:6">
      <c r="A32" s="153"/>
    </row>
    <row r="33" spans="1:6" ht="13.5" thickBot="1">
      <c r="A33" s="153"/>
      <c r="F33" s="117">
        <f>SUM(F20:F32)</f>
        <v>95</v>
      </c>
    </row>
    <row r="34" spans="1:6" ht="14.25" thickTop="1" thickBot="1">
      <c r="A34" s="153"/>
      <c r="F34" s="127">
        <f>SUM(F18:F33)</f>
        <v>190</v>
      </c>
    </row>
    <row r="35" spans="1:6" ht="13.5" thickTop="1">
      <c r="A35" s="153"/>
    </row>
    <row r="36" spans="1:6" ht="20.100000000000001" customHeight="1">
      <c r="A36" s="118" t="s">
        <v>204</v>
      </c>
      <c r="B36" s="202" t="s">
        <v>2556</v>
      </c>
      <c r="C36" s="119"/>
      <c r="D36" s="119"/>
      <c r="E36" s="119"/>
      <c r="F36" s="119"/>
    </row>
    <row r="37" spans="1:6">
      <c r="A37" s="120" t="s">
        <v>11</v>
      </c>
    </row>
    <row r="38" spans="1:6">
      <c r="A38" s="111" t="s">
        <v>10</v>
      </c>
    </row>
    <row r="39" spans="1:6" ht="25.5">
      <c r="A39" s="126"/>
      <c r="D39" s="265" t="s">
        <v>2894</v>
      </c>
      <c r="E39" s="266"/>
      <c r="F39" s="267"/>
    </row>
    <row r="41" spans="1:6">
      <c r="C41" s="121"/>
    </row>
    <row r="42" spans="1:6">
      <c r="A42" s="122"/>
      <c r="B42" s="122"/>
    </row>
    <row r="44" spans="1:6">
      <c r="A44" s="123" t="s">
        <v>8</v>
      </c>
      <c r="D44" s="123" t="s">
        <v>7</v>
      </c>
      <c r="F44" s="124"/>
    </row>
    <row r="48" spans="1:6">
      <c r="A48" s="122"/>
      <c r="B48" s="122"/>
      <c r="D48" s="122"/>
      <c r="E48" s="122"/>
      <c r="F48" s="122"/>
    </row>
    <row r="49" spans="1:4" s="126" customFormat="1" ht="17.100000000000001" customHeight="1">
      <c r="A49" s="125" t="s">
        <v>4</v>
      </c>
      <c r="B49" s="125"/>
      <c r="D49" s="126" t="s">
        <v>3</v>
      </c>
    </row>
    <row r="50" spans="1:4">
      <c r="A50" s="151" t="s">
        <v>2948</v>
      </c>
      <c r="D50" s="111" t="s">
        <v>2</v>
      </c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Sheet243"/>
  <dimension ref="A1:F52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2.7109375" style="131" customWidth="1"/>
    <col min="5" max="5" width="10.1406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1766</v>
      </c>
      <c r="E9" s="147" t="s">
        <v>2192</v>
      </c>
    </row>
    <row r="10" spans="1:6">
      <c r="A10" s="131" t="s">
        <v>2194</v>
      </c>
      <c r="D10" s="132" t="s">
        <v>1124</v>
      </c>
      <c r="E10" s="212" t="s">
        <v>2191</v>
      </c>
    </row>
    <row r="11" spans="1:6">
      <c r="A11" s="131" t="s">
        <v>2195</v>
      </c>
      <c r="D11" s="132" t="s">
        <v>1125</v>
      </c>
      <c r="E11" s="212" t="s">
        <v>1094</v>
      </c>
    </row>
    <row r="12" spans="1:6">
      <c r="A12" s="131" t="s">
        <v>2196</v>
      </c>
      <c r="D12" s="132" t="s">
        <v>1096</v>
      </c>
      <c r="E12" s="212" t="s">
        <v>2193</v>
      </c>
    </row>
    <row r="13" spans="1:6">
      <c r="A13" s="131" t="s">
        <v>1535</v>
      </c>
    </row>
    <row r="14" spans="1:6">
      <c r="A14" s="131" t="s">
        <v>2197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6">
      <c r="A17" s="177"/>
    </row>
    <row r="18" spans="1:6">
      <c r="A18" s="158"/>
      <c r="B18" s="141"/>
      <c r="C18" s="110" t="s">
        <v>2198</v>
      </c>
    </row>
    <row r="20" spans="1:6">
      <c r="A20" s="158" t="s">
        <v>2199</v>
      </c>
      <c r="B20" s="141" t="s">
        <v>2200</v>
      </c>
      <c r="C20" s="131" t="s">
        <v>2201</v>
      </c>
      <c r="F20" s="131">
        <v>4000</v>
      </c>
    </row>
    <row r="21" spans="1:6">
      <c r="C21" s="131" t="s">
        <v>2202</v>
      </c>
    </row>
    <row r="22" spans="1:6">
      <c r="A22" s="158"/>
      <c r="B22" s="141"/>
    </row>
    <row r="23" spans="1:6">
      <c r="A23" s="158"/>
      <c r="B23" s="141"/>
    </row>
    <row r="25" spans="1:6">
      <c r="A25" s="158"/>
      <c r="B25" s="141"/>
    </row>
    <row r="26" spans="1:6">
      <c r="A26" s="158"/>
      <c r="B26" s="141"/>
    </row>
    <row r="27" spans="1:6">
      <c r="A27" s="158"/>
      <c r="B27" s="141"/>
    </row>
    <row r="29" spans="1:6">
      <c r="A29" s="158"/>
      <c r="B29" s="141"/>
    </row>
    <row r="30" spans="1:6">
      <c r="A30" s="158"/>
      <c r="B30" s="141"/>
    </row>
    <row r="31" spans="1:6">
      <c r="A31" s="158"/>
      <c r="B31" s="141"/>
    </row>
    <row r="32" spans="1:6">
      <c r="A32" s="158"/>
    </row>
    <row r="33" spans="1:6" ht="13.5" thickBot="1">
      <c r="A33" s="158"/>
      <c r="F33" s="137">
        <f>SUM(F20:F32)</f>
        <v>4000</v>
      </c>
    </row>
    <row r="34" spans="1:6" ht="13.5" thickTop="1">
      <c r="A34" s="177"/>
    </row>
    <row r="35" spans="1:6" ht="20.100000000000001" customHeight="1">
      <c r="A35" s="138" t="s">
        <v>1686</v>
      </c>
      <c r="B35" s="204" t="s">
        <v>2203</v>
      </c>
      <c r="C35" s="139"/>
      <c r="D35" s="139"/>
      <c r="E35" s="139"/>
      <c r="F35" s="139"/>
    </row>
    <row r="36" spans="1:6">
      <c r="A36" s="140"/>
    </row>
    <row r="37" spans="1:6">
      <c r="A37" s="131" t="s">
        <v>10</v>
      </c>
    </row>
    <row r="39" spans="1:6" ht="25.5">
      <c r="A39" s="147"/>
      <c r="D39" s="265" t="s">
        <v>2894</v>
      </c>
      <c r="E39" s="266"/>
      <c r="F39" s="267"/>
    </row>
    <row r="40" spans="1:6">
      <c r="A40" s="131" t="s">
        <v>51</v>
      </c>
      <c r="C40" s="141"/>
    </row>
    <row r="41" spans="1:6">
      <c r="A41" s="142"/>
      <c r="B41" s="142"/>
    </row>
    <row r="43" spans="1:6">
      <c r="A43" s="131" t="s">
        <v>8</v>
      </c>
      <c r="D43" s="143" t="s">
        <v>7</v>
      </c>
      <c r="F43" s="144"/>
    </row>
    <row r="47" spans="1:6">
      <c r="A47" s="142" t="s">
        <v>51</v>
      </c>
      <c r="B47" s="142"/>
      <c r="D47" s="142"/>
      <c r="E47" s="142"/>
      <c r="F47" s="142"/>
    </row>
    <row r="48" spans="1:6" s="147" customFormat="1" ht="17.100000000000001" customHeight="1">
      <c r="A48" s="147" t="s">
        <v>4</v>
      </c>
      <c r="B48" s="146"/>
      <c r="D48" s="147" t="s">
        <v>3</v>
      </c>
    </row>
    <row r="49" spans="1:4">
      <c r="D49" s="131" t="s">
        <v>2</v>
      </c>
    </row>
    <row r="50" spans="1:4">
      <c r="A50" s="145" t="s">
        <v>2948</v>
      </c>
    </row>
    <row r="51" spans="1:4">
      <c r="D51" s="110" t="s">
        <v>1</v>
      </c>
    </row>
    <row r="52" spans="1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59055118110236227" bottom="0.78740157480314965" header="0.51181102362204722" footer="0.51181102362204722"/>
  <pageSetup paperSize="9" scale="95" orientation="portrait" r:id="rId1"/>
  <headerFooter alignWithMargins="0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Sheet278">
    <pageSetUpPr fitToPage="1"/>
  </sheetPr>
  <dimension ref="A1:L54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7109375" style="111" customWidth="1"/>
    <col min="2" max="2" width="13.85546875" style="111" customWidth="1"/>
    <col min="3" max="3" width="1" style="111" customWidth="1"/>
    <col min="4" max="4" width="23" style="111" customWidth="1"/>
    <col min="5" max="5" width="1" style="111" customWidth="1"/>
    <col min="6" max="6" width="12.7109375" style="111" customWidth="1"/>
    <col min="7" max="7" width="10.85546875" style="111" customWidth="1"/>
    <col min="8" max="8" width="12.8554687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1110</v>
      </c>
      <c r="G9" s="483" t="s">
        <v>6985</v>
      </c>
    </row>
    <row r="10" spans="1:8">
      <c r="A10" s="111" t="s">
        <v>2301</v>
      </c>
      <c r="F10" s="112" t="s">
        <v>1162</v>
      </c>
      <c r="G10" s="123" t="s">
        <v>6981</v>
      </c>
    </row>
    <row r="11" spans="1:8">
      <c r="A11" s="111" t="s">
        <v>1938</v>
      </c>
      <c r="F11" s="112" t="s">
        <v>1163</v>
      </c>
      <c r="G11" s="112" t="s">
        <v>1094</v>
      </c>
    </row>
    <row r="12" spans="1:8">
      <c r="A12" s="111" t="s">
        <v>1939</v>
      </c>
      <c r="F12" s="112" t="s">
        <v>1169</v>
      </c>
      <c r="G12" s="486" t="s">
        <v>6986</v>
      </c>
    </row>
    <row r="13" spans="1:8">
      <c r="A13" s="111" t="s">
        <v>1323</v>
      </c>
      <c r="G13" s="111" t="s">
        <v>5914</v>
      </c>
    </row>
    <row r="14" spans="1:8">
      <c r="A14" s="111" t="s">
        <v>1940</v>
      </c>
    </row>
    <row r="16" spans="1:8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</row>
    <row r="17" spans="1:12">
      <c r="A17" s="153"/>
    </row>
    <row r="18" spans="1:12">
      <c r="A18" s="116"/>
      <c r="B18" s="116"/>
      <c r="C18" s="116"/>
      <c r="D18" s="2" t="s">
        <v>6987</v>
      </c>
      <c r="E18" s="2"/>
    </row>
    <row r="19" spans="1:12">
      <c r="D19" s="2"/>
      <c r="E19" s="2"/>
      <c r="K19" s="111">
        <v>381.65</v>
      </c>
    </row>
    <row r="20" spans="1:12">
      <c r="A20" s="485" t="s">
        <v>6988</v>
      </c>
      <c r="B20" s="485"/>
      <c r="C20" s="121"/>
      <c r="D20" s="111" t="s">
        <v>6989</v>
      </c>
      <c r="H20" s="111">
        <f>100*45</f>
        <v>4500</v>
      </c>
      <c r="K20" s="111">
        <f>K19*6%</f>
        <v>22.898999999999997</v>
      </c>
      <c r="L20" s="111">
        <f>K19+K20</f>
        <v>404.54899999999998</v>
      </c>
    </row>
    <row r="21" spans="1:12">
      <c r="A21" s="116"/>
      <c r="B21" s="116"/>
      <c r="C21" s="116"/>
      <c r="D21" s="483"/>
      <c r="K21" s="111">
        <v>404.54</v>
      </c>
      <c r="L21" s="111">
        <f>L20*10%</f>
        <v>40.454900000000002</v>
      </c>
    </row>
    <row r="22" spans="1:12">
      <c r="L22" s="111">
        <f>L20+L21</f>
        <v>445.00389999999999</v>
      </c>
    </row>
    <row r="23" spans="1:12">
      <c r="A23" s="116"/>
      <c r="B23" s="121"/>
      <c r="C23" s="121"/>
    </row>
    <row r="24" spans="1:12">
      <c r="A24" s="116"/>
      <c r="B24" s="121"/>
      <c r="C24" s="121"/>
    </row>
    <row r="25" spans="1:12">
      <c r="A25" s="173"/>
    </row>
    <row r="26" spans="1:12">
      <c r="A26" s="116"/>
      <c r="B26" s="121"/>
      <c r="C26" s="121"/>
    </row>
    <row r="27" spans="1:12">
      <c r="A27" s="116"/>
      <c r="B27" s="121"/>
      <c r="C27" s="121"/>
    </row>
    <row r="28" spans="1:12">
      <c r="A28" s="116"/>
      <c r="B28" s="121"/>
      <c r="C28" s="121"/>
    </row>
    <row r="29" spans="1:12">
      <c r="A29" s="116"/>
      <c r="B29" s="116"/>
      <c r="C29" s="116"/>
    </row>
    <row r="30" spans="1:12">
      <c r="A30" s="153"/>
    </row>
    <row r="31" spans="1:12">
      <c r="A31" s="153"/>
    </row>
    <row r="32" spans="1:12">
      <c r="A32" s="153"/>
    </row>
    <row r="33" spans="1:8">
      <c r="A33" s="153"/>
    </row>
    <row r="34" spans="1:8">
      <c r="A34" s="153"/>
    </row>
    <row r="35" spans="1:8" ht="13.5" thickBot="1">
      <c r="A35" s="153"/>
      <c r="H35" s="117">
        <f>SUM(H20:H34)</f>
        <v>4500</v>
      </c>
    </row>
    <row r="36" spans="1:8" ht="13.5" thickTop="1">
      <c r="A36" s="153"/>
    </row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Four Thousand Five Hundred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>
      <c r="A39" s="111" t="s">
        <v>10</v>
      </c>
    </row>
    <row r="41" spans="1:8" ht="25.5">
      <c r="A41" s="126"/>
      <c r="F41" s="265" t="s">
        <v>2894</v>
      </c>
      <c r="G41" s="266"/>
      <c r="H41" s="267"/>
    </row>
    <row r="42" spans="1:8">
      <c r="D42" s="121"/>
      <c r="E42" s="121"/>
    </row>
    <row r="43" spans="1:8">
      <c r="A43" s="122"/>
      <c r="B43" s="122"/>
      <c r="C43" s="433"/>
    </row>
    <row r="45" spans="1:8">
      <c r="A45" s="123" t="s">
        <v>8</v>
      </c>
      <c r="D45" s="123" t="s">
        <v>8</v>
      </c>
      <c r="F45" s="123" t="s">
        <v>7</v>
      </c>
      <c r="H45" s="124"/>
    </row>
    <row r="49" spans="1:8">
      <c r="A49" s="122"/>
      <c r="B49" s="122"/>
      <c r="C49" s="433"/>
      <c r="D49" s="122"/>
      <c r="F49" s="122"/>
      <c r="G49" s="122"/>
      <c r="H49" s="122"/>
    </row>
    <row r="50" spans="1:8" s="126" customFormat="1" ht="17.100000000000001" customHeight="1">
      <c r="A50" s="151" t="s">
        <v>2948</v>
      </c>
      <c r="B50" s="125"/>
      <c r="C50" s="125"/>
      <c r="D50" s="151" t="s">
        <v>103</v>
      </c>
      <c r="F50" s="126" t="s">
        <v>3</v>
      </c>
    </row>
    <row r="51" spans="1:8">
      <c r="F51" s="111" t="s">
        <v>2</v>
      </c>
    </row>
    <row r="52" spans="1:8">
      <c r="A52" s="151"/>
    </row>
    <row r="53" spans="1:8">
      <c r="F53" s="2" t="s">
        <v>1</v>
      </c>
    </row>
    <row r="54" spans="1:8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55147-87AE-426F-A098-FD0BF26E3CF4}">
  <sheetPr codeName="Sheet574">
    <pageSetUpPr fitToPage="1"/>
  </sheetPr>
  <dimension ref="A1:H55"/>
  <sheetViews>
    <sheetView zoomScaleNormal="100" workbookViewId="0">
      <selection activeCell="G9" sqref="G9:G13"/>
    </sheetView>
  </sheetViews>
  <sheetFormatPr defaultRowHeight="12.75"/>
  <cols>
    <col min="1" max="1" width="15.85546875" style="111" customWidth="1"/>
    <col min="2" max="2" width="15.42578125" style="111" customWidth="1"/>
    <col min="3" max="3" width="1" style="111" customWidth="1"/>
    <col min="4" max="4" width="23" style="111" customWidth="1"/>
    <col min="5" max="5" width="1.42578125" style="111" customWidth="1"/>
    <col min="6" max="6" width="12" style="111" customWidth="1"/>
    <col min="7" max="7" width="9.710937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1239</v>
      </c>
      <c r="G9" s="132" t="s">
        <v>5977</v>
      </c>
    </row>
    <row r="10" spans="1:8">
      <c r="A10" s="111" t="s">
        <v>5979</v>
      </c>
      <c r="F10" s="112" t="s">
        <v>1124</v>
      </c>
      <c r="G10" s="132" t="s">
        <v>5968</v>
      </c>
    </row>
    <row r="11" spans="1:8">
      <c r="A11" s="111" t="s">
        <v>1322</v>
      </c>
      <c r="F11" s="112" t="s">
        <v>1125</v>
      </c>
      <c r="G11" s="132" t="s">
        <v>1094</v>
      </c>
    </row>
    <row r="12" spans="1:8">
      <c r="A12" s="111" t="s">
        <v>1323</v>
      </c>
      <c r="F12" s="112" t="s">
        <v>1096</v>
      </c>
      <c r="G12" s="111" t="s">
        <v>5978</v>
      </c>
    </row>
    <row r="13" spans="1:8">
      <c r="G13" s="111" t="s">
        <v>5775</v>
      </c>
    </row>
    <row r="16" spans="1:8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53"/>
    </row>
    <row r="18" spans="1:8">
      <c r="B18" s="116"/>
      <c r="C18" s="116"/>
      <c r="D18" s="2" t="s">
        <v>5980</v>
      </c>
      <c r="E18" s="2"/>
    </row>
    <row r="19" spans="1:8">
      <c r="D19" s="2" t="s">
        <v>5981</v>
      </c>
    </row>
    <row r="20" spans="1:8">
      <c r="A20" s="116"/>
      <c r="B20" s="116"/>
      <c r="C20" s="116"/>
    </row>
    <row r="21" spans="1:8">
      <c r="A21" s="116" t="s">
        <v>5969</v>
      </c>
      <c r="B21" s="116" t="s">
        <v>5982</v>
      </c>
      <c r="C21" s="116"/>
      <c r="D21" s="111" t="s">
        <v>5983</v>
      </c>
      <c r="H21" s="111">
        <f>1124.58</f>
        <v>1124.58</v>
      </c>
    </row>
    <row r="22" spans="1:8">
      <c r="A22" s="116"/>
      <c r="B22" s="116"/>
      <c r="C22" s="116"/>
      <c r="D22" s="111" t="s">
        <v>5984</v>
      </c>
      <c r="H22" s="111">
        <v>112.46</v>
      </c>
    </row>
    <row r="23" spans="1:8">
      <c r="A23" s="116"/>
      <c r="B23" s="116"/>
      <c r="C23" s="116"/>
      <c r="D23" s="111" t="s">
        <v>5988</v>
      </c>
      <c r="H23" s="111">
        <v>70.47</v>
      </c>
    </row>
    <row r="24" spans="1:8">
      <c r="A24" s="116"/>
      <c r="B24" s="116"/>
      <c r="C24" s="116"/>
      <c r="D24" s="111" t="s">
        <v>4676</v>
      </c>
      <c r="H24" s="111">
        <v>30</v>
      </c>
    </row>
    <row r="25" spans="1:8">
      <c r="A25" s="116"/>
      <c r="B25" s="116"/>
      <c r="C25" s="116"/>
      <c r="D25" s="111" t="s">
        <v>5987</v>
      </c>
      <c r="H25" s="111">
        <v>-0.01</v>
      </c>
    </row>
    <row r="26" spans="1:8">
      <c r="A26" s="116"/>
      <c r="B26" s="116"/>
      <c r="C26" s="116"/>
    </row>
    <row r="27" spans="1:8">
      <c r="A27" s="116"/>
      <c r="B27" s="116"/>
      <c r="C27" s="116"/>
    </row>
    <row r="29" spans="1:8">
      <c r="A29" s="116"/>
      <c r="B29" s="121"/>
      <c r="C29" s="121"/>
    </row>
    <row r="30" spans="1:8">
      <c r="A30" s="121"/>
      <c r="B30" s="121"/>
      <c r="C30" s="121"/>
    </row>
    <row r="31" spans="1:8">
      <c r="A31" s="116"/>
      <c r="B31" s="121"/>
      <c r="C31" s="121"/>
    </row>
    <row r="32" spans="1:8">
      <c r="A32" s="153"/>
    </row>
    <row r="33" spans="1:8">
      <c r="A33" s="153"/>
    </row>
    <row r="34" spans="1:8">
      <c r="A34" s="153"/>
    </row>
    <row r="35" spans="1:8">
      <c r="A35" s="153"/>
    </row>
    <row r="36" spans="1:8" ht="13.5" thickBot="1">
      <c r="A36" s="153"/>
      <c r="H36" s="117">
        <f>SUM(H18:H34)</f>
        <v>1337.5</v>
      </c>
    </row>
    <row r="37" spans="1:8" ht="13.5" thickTop="1">
      <c r="A37" s="153"/>
    </row>
    <row r="38" spans="1:8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One Thousand Three Hundred Thirty-Seven and 50/100 -----------</v>
      </c>
      <c r="C38" s="202"/>
      <c r="D38" s="119"/>
      <c r="E38" s="119"/>
      <c r="F38" s="119"/>
      <c r="G38" s="119"/>
      <c r="H38" s="119"/>
    </row>
    <row r="39" spans="1:8">
      <c r="A39" s="120" t="s">
        <v>11</v>
      </c>
    </row>
    <row r="40" spans="1:8" ht="25.5">
      <c r="A40" s="126" t="s">
        <v>10</v>
      </c>
      <c r="F40" s="265" t="s">
        <v>2894</v>
      </c>
      <c r="G40" s="266"/>
      <c r="H40" s="267"/>
    </row>
    <row r="43" spans="1:8">
      <c r="D43" s="121"/>
      <c r="E43" s="121"/>
    </row>
    <row r="44" spans="1:8">
      <c r="A44" s="122"/>
      <c r="B44" s="122"/>
      <c r="C44" s="433"/>
      <c r="D44" s="433"/>
    </row>
    <row r="45" spans="1:8">
      <c r="D45" s="433"/>
    </row>
    <row r="46" spans="1:8">
      <c r="A46" s="123" t="s">
        <v>8</v>
      </c>
      <c r="D46" s="123" t="s">
        <v>8</v>
      </c>
      <c r="F46" s="123" t="s">
        <v>7</v>
      </c>
      <c r="H46" s="124"/>
    </row>
    <row r="50" spans="1:8">
      <c r="A50" s="122"/>
      <c r="B50" s="122"/>
      <c r="C50" s="433"/>
      <c r="D50" s="122"/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D52" s="433"/>
      <c r="F52" s="111" t="s">
        <v>2</v>
      </c>
    </row>
    <row r="53" spans="1:8">
      <c r="D53" s="433"/>
    </row>
    <row r="54" spans="1:8">
      <c r="D54" s="433"/>
      <c r="F54" s="2" t="s">
        <v>1</v>
      </c>
    </row>
    <row r="55" spans="1:8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 codeName="Sheet279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2.42578125" style="131" customWidth="1"/>
    <col min="5" max="5" width="8.7109375" style="131" customWidth="1"/>
    <col min="6" max="6" width="13.28515625" style="131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1110</v>
      </c>
      <c r="E9" s="111" t="s">
        <v>2407</v>
      </c>
    </row>
    <row r="10" spans="1:6">
      <c r="A10" s="131" t="s">
        <v>1254</v>
      </c>
      <c r="D10" s="132" t="s">
        <v>1685</v>
      </c>
      <c r="E10" s="123" t="s">
        <v>2397</v>
      </c>
    </row>
    <row r="11" spans="1:6">
      <c r="A11" s="131" t="s">
        <v>2409</v>
      </c>
      <c r="D11" s="132" t="s">
        <v>1163</v>
      </c>
      <c r="E11" s="112" t="s">
        <v>1094</v>
      </c>
    </row>
    <row r="12" spans="1:6">
      <c r="A12" s="131" t="s">
        <v>1256</v>
      </c>
      <c r="D12" s="132" t="s">
        <v>1188</v>
      </c>
      <c r="E12" s="120" t="s">
        <v>2408</v>
      </c>
    </row>
    <row r="13" spans="1:6">
      <c r="A13" s="131" t="s">
        <v>1287</v>
      </c>
      <c r="E13" s="111"/>
    </row>
    <row r="14" spans="1:6">
      <c r="A14" s="131" t="s">
        <v>1258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6">
      <c r="A17" s="177"/>
    </row>
    <row r="18" spans="1:6">
      <c r="A18" s="111"/>
      <c r="B18" s="111"/>
      <c r="C18" s="2" t="s">
        <v>2410</v>
      </c>
      <c r="D18" s="111"/>
      <c r="E18" s="111"/>
      <c r="F18" s="111"/>
    </row>
    <row r="19" spans="1:6">
      <c r="A19" s="173"/>
      <c r="B19" s="121"/>
      <c r="C19" s="2"/>
      <c r="D19" s="111"/>
      <c r="E19" s="111"/>
      <c r="F19" s="111"/>
    </row>
    <row r="20" spans="1:6">
      <c r="A20" s="120" t="s">
        <v>2411</v>
      </c>
      <c r="B20" s="121" t="s">
        <v>2412</v>
      </c>
      <c r="C20" s="111" t="s">
        <v>2413</v>
      </c>
      <c r="D20" s="111"/>
      <c r="E20" s="111"/>
      <c r="F20" s="111">
        <v>35</v>
      </c>
    </row>
    <row r="21" spans="1:6">
      <c r="A21" s="158"/>
      <c r="B21" s="141"/>
    </row>
    <row r="22" spans="1:6">
      <c r="C22" s="131" t="s">
        <v>2414</v>
      </c>
      <c r="F22" s="131">
        <v>320</v>
      </c>
    </row>
    <row r="23" spans="1:6">
      <c r="A23" s="177"/>
      <c r="B23" s="141"/>
    </row>
    <row r="24" spans="1:6">
      <c r="B24" s="141"/>
    </row>
    <row r="25" spans="1:6">
      <c r="B25" s="141"/>
    </row>
    <row r="26" spans="1:6">
      <c r="A26" s="86"/>
      <c r="B26" s="103"/>
    </row>
    <row r="27" spans="1:6">
      <c r="A27" s="86"/>
      <c r="B27" s="103"/>
    </row>
    <row r="28" spans="1:6">
      <c r="A28" s="86"/>
      <c r="B28" s="86"/>
      <c r="C28" s="86"/>
      <c r="D28" s="86"/>
      <c r="E28" s="86"/>
      <c r="F28" s="86"/>
    </row>
    <row r="29" spans="1:6" ht="13.5" thickBot="1">
      <c r="A29" s="177"/>
      <c r="F29" s="137">
        <f>SUM(F19:F28)</f>
        <v>355</v>
      </c>
    </row>
    <row r="30" spans="1:6" ht="13.5" thickTop="1">
      <c r="A30" s="177"/>
    </row>
    <row r="31" spans="1:6">
      <c r="A31" s="177"/>
    </row>
    <row r="32" spans="1:6" ht="20.100000000000001" customHeight="1">
      <c r="A32" s="138" t="s">
        <v>1686</v>
      </c>
      <c r="B32" s="204" t="s">
        <v>2415</v>
      </c>
      <c r="C32" s="139"/>
      <c r="D32" s="139"/>
      <c r="E32" s="139"/>
    </row>
    <row r="33" spans="1:6" ht="13.5" thickBot="1">
      <c r="A33" s="140"/>
      <c r="F33" s="230">
        <f>SUM(F20:F32)</f>
        <v>710</v>
      </c>
    </row>
    <row r="34" spans="1:6" ht="13.5" thickTop="1">
      <c r="A34" s="131" t="s">
        <v>10</v>
      </c>
    </row>
    <row r="37" spans="1:6">
      <c r="A37" s="131" t="s">
        <v>51</v>
      </c>
      <c r="C37" s="141"/>
    </row>
    <row r="38" spans="1:6">
      <c r="A38" s="142"/>
      <c r="B38" s="142"/>
    </row>
    <row r="39" spans="1:6" ht="25.5">
      <c r="A39" s="147"/>
      <c r="D39" s="265" t="s">
        <v>2894</v>
      </c>
      <c r="E39" s="266"/>
      <c r="F39" s="267"/>
    </row>
    <row r="40" spans="1:6">
      <c r="A40" s="131" t="s">
        <v>8</v>
      </c>
      <c r="F40" s="144"/>
    </row>
    <row r="44" spans="1:6">
      <c r="A44" s="142" t="s">
        <v>51</v>
      </c>
      <c r="B44" s="142"/>
      <c r="D44" s="142"/>
      <c r="E44" s="142"/>
      <c r="F44" s="142"/>
    </row>
    <row r="45" spans="1:6" s="109" customFormat="1" ht="17.100000000000001" customHeight="1">
      <c r="A45" s="147" t="s">
        <v>4</v>
      </c>
      <c r="B45" s="146"/>
      <c r="C45" s="147"/>
      <c r="D45" s="147" t="s">
        <v>3</v>
      </c>
      <c r="E45" s="147"/>
      <c r="F45" s="147"/>
    </row>
    <row r="46" spans="1:6">
      <c r="D46" s="131" t="s">
        <v>2</v>
      </c>
    </row>
    <row r="48" spans="1:6">
      <c r="D48" s="110" t="s">
        <v>1</v>
      </c>
    </row>
    <row r="49" spans="1:4">
      <c r="D49" s="110" t="s">
        <v>0</v>
      </c>
    </row>
    <row r="50" spans="1:4">
      <c r="A50" s="145" t="s">
        <v>2948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Sheet280">
    <pageSetUpPr fitToPage="1"/>
  </sheetPr>
  <dimension ref="A1:H53"/>
  <sheetViews>
    <sheetView workbookViewId="0">
      <selection activeCell="G9" sqref="G9:G13"/>
    </sheetView>
  </sheetViews>
  <sheetFormatPr defaultRowHeight="12.75"/>
  <cols>
    <col min="1" max="1" width="15.140625" style="131" customWidth="1"/>
    <col min="2" max="2" width="16.5703125" style="131" customWidth="1"/>
    <col min="3" max="3" width="1" style="131" customWidth="1"/>
    <col min="4" max="4" width="22.42578125" style="131" customWidth="1"/>
    <col min="5" max="5" width="1.28515625" style="131" customWidth="1"/>
    <col min="6" max="6" width="14.42578125" style="131" customWidth="1"/>
    <col min="7" max="7" width="1.28515625" style="131" customWidth="1"/>
    <col min="8" max="8" width="15.85546875" style="131" customWidth="1"/>
    <col min="9" max="16384" width="9.140625" style="131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  <c r="G8" s="87"/>
    </row>
    <row r="9" spans="1:8">
      <c r="F9" s="132" t="s">
        <v>1110</v>
      </c>
      <c r="G9" s="132"/>
      <c r="H9" s="131" t="s">
        <v>4635</v>
      </c>
    </row>
    <row r="10" spans="1:8">
      <c r="A10" s="131" t="s">
        <v>4180</v>
      </c>
      <c r="F10" s="132" t="s">
        <v>1685</v>
      </c>
      <c r="G10" s="132"/>
      <c r="H10" s="131" t="s">
        <v>4634</v>
      </c>
    </row>
    <row r="11" spans="1:8">
      <c r="A11" s="131" t="s">
        <v>4181</v>
      </c>
      <c r="F11" s="132" t="s">
        <v>1187</v>
      </c>
      <c r="G11" s="132"/>
      <c r="H11" s="131" t="s">
        <v>1094</v>
      </c>
    </row>
    <row r="12" spans="1:8">
      <c r="A12" s="131" t="s">
        <v>4182</v>
      </c>
      <c r="F12" s="132" t="s">
        <v>2148</v>
      </c>
      <c r="G12" s="132"/>
      <c r="H12" s="131" t="s">
        <v>1270</v>
      </c>
    </row>
    <row r="13" spans="1:8">
      <c r="A13" s="131" t="s">
        <v>1528</v>
      </c>
    </row>
    <row r="14" spans="1:8">
      <c r="A14" s="131" t="s">
        <v>4183</v>
      </c>
    </row>
    <row r="15" spans="1:8">
      <c r="A15" s="131" t="s">
        <v>3385</v>
      </c>
    </row>
    <row r="16" spans="1:8" s="95" customFormat="1" ht="20.100000000000001" customHeight="1">
      <c r="A16" s="90" t="s">
        <v>1140</v>
      </c>
      <c r="B16" s="91" t="s">
        <v>1098</v>
      </c>
      <c r="C16" s="91"/>
      <c r="D16" s="92" t="s">
        <v>14</v>
      </c>
      <c r="E16" s="92"/>
      <c r="F16" s="92"/>
      <c r="G16" s="92"/>
      <c r="H16" s="94" t="s">
        <v>13</v>
      </c>
    </row>
    <row r="18" spans="1:8">
      <c r="D18" s="110" t="s">
        <v>4636</v>
      </c>
      <c r="E18" s="110"/>
      <c r="F18" s="110"/>
      <c r="G18" s="110"/>
    </row>
    <row r="19" spans="1:8">
      <c r="A19" s="163"/>
    </row>
    <row r="20" spans="1:8">
      <c r="A20" s="165" t="s">
        <v>4637</v>
      </c>
      <c r="B20" s="158" t="s">
        <v>4638</v>
      </c>
      <c r="C20" s="306"/>
      <c r="D20" s="131" t="s">
        <v>4639</v>
      </c>
      <c r="H20" s="149">
        <f>630*3.1504</f>
        <v>1984.752</v>
      </c>
    </row>
    <row r="21" spans="1:8">
      <c r="A21" s="165"/>
      <c r="B21" s="140"/>
      <c r="C21" s="140"/>
      <c r="D21" s="131" t="s">
        <v>4640</v>
      </c>
      <c r="H21" s="149">
        <f>550*3.1504</f>
        <v>1732.72</v>
      </c>
    </row>
    <row r="22" spans="1:8">
      <c r="D22" s="131" t="s">
        <v>4641</v>
      </c>
      <c r="H22" s="149">
        <f>640*3.1504</f>
        <v>2016.2559999999999</v>
      </c>
    </row>
    <row r="23" spans="1:8">
      <c r="A23" s="162"/>
      <c r="D23" s="131" t="s">
        <v>4642</v>
      </c>
      <c r="E23" s="200"/>
      <c r="H23" s="149">
        <f>9510*3.1504</f>
        <v>29960.304</v>
      </c>
    </row>
    <row r="24" spans="1:8">
      <c r="A24" s="162"/>
      <c r="B24" s="140"/>
      <c r="C24" s="140"/>
      <c r="D24" s="131" t="s">
        <v>4643</v>
      </c>
      <c r="H24" s="149">
        <f>572*3.1504</f>
        <v>1802.0287999999998</v>
      </c>
    </row>
    <row r="25" spans="1:8">
      <c r="A25" s="163"/>
      <c r="B25" s="140"/>
      <c r="C25" s="140"/>
      <c r="H25" s="149"/>
    </row>
    <row r="26" spans="1:8">
      <c r="A26" s="162"/>
      <c r="B26" s="140"/>
      <c r="C26" s="140"/>
      <c r="D26" s="200" t="s">
        <v>4644</v>
      </c>
    </row>
    <row r="27" spans="1:8">
      <c r="A27" s="162"/>
    </row>
    <row r="28" spans="1:8">
      <c r="A28" s="162"/>
      <c r="D28" s="131" t="s">
        <v>1697</v>
      </c>
      <c r="H28" s="131">
        <v>10</v>
      </c>
    </row>
    <row r="29" spans="1:8">
      <c r="D29" s="131" t="s">
        <v>1814</v>
      </c>
      <c r="F29" s="200"/>
      <c r="G29" s="200"/>
      <c r="H29" s="131">
        <f>H28*6%</f>
        <v>0.6</v>
      </c>
    </row>
    <row r="33" spans="1:8" ht="13.5" thickBot="1">
      <c r="H33" s="164">
        <f>SUM(H20:H32)</f>
        <v>37506.660799999998</v>
      </c>
    </row>
    <row r="34" spans="1:8" ht="13.5" thickTop="1"/>
    <row r="35" spans="1:8" ht="20.100000000000001" customHeight="1">
      <c r="A35" s="138" t="s">
        <v>204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Thirty-Seven Thousand Five Hundred Six and 66/100 -----------</v>
      </c>
      <c r="C35" s="138"/>
      <c r="D35" s="139"/>
      <c r="E35" s="139"/>
      <c r="F35" s="139"/>
      <c r="G35" s="139"/>
      <c r="H35" s="139"/>
    </row>
    <row r="36" spans="1:8">
      <c r="A36" s="140" t="s">
        <v>11</v>
      </c>
    </row>
    <row r="37" spans="1:8" ht="25.5">
      <c r="A37" s="131" t="s">
        <v>10</v>
      </c>
      <c r="D37" s="143" t="s">
        <v>8</v>
      </c>
      <c r="E37" s="143"/>
      <c r="F37" s="342" t="s">
        <v>2894</v>
      </c>
      <c r="G37" s="340"/>
      <c r="H37" s="343"/>
    </row>
    <row r="39" spans="1:8">
      <c r="A39" s="147"/>
    </row>
    <row r="40" spans="1:8">
      <c r="A40" s="131" t="s">
        <v>52</v>
      </c>
      <c r="F40" s="141"/>
      <c r="G40" s="141"/>
    </row>
    <row r="41" spans="1:8">
      <c r="A41" s="142"/>
      <c r="B41" s="142"/>
      <c r="D41" s="142" t="s">
        <v>51</v>
      </c>
    </row>
    <row r="42" spans="1:8">
      <c r="D42" s="145" t="s">
        <v>103</v>
      </c>
      <c r="E42" s="145"/>
    </row>
    <row r="43" spans="1:8">
      <c r="D43" s="145"/>
      <c r="E43" s="145"/>
    </row>
    <row r="44" spans="1:8">
      <c r="A44" s="143" t="s">
        <v>8</v>
      </c>
      <c r="D44" s="143" t="s">
        <v>8</v>
      </c>
      <c r="E44" s="143"/>
      <c r="F44" s="143" t="s">
        <v>7</v>
      </c>
    </row>
    <row r="48" spans="1:8">
      <c r="A48" s="142" t="s">
        <v>51</v>
      </c>
      <c r="B48" s="142"/>
      <c r="D48" s="142" t="s">
        <v>51</v>
      </c>
      <c r="F48" s="142"/>
      <c r="G48" s="142"/>
      <c r="H48" s="142"/>
    </row>
    <row r="49" spans="1:6" s="147" customFormat="1" ht="17.100000000000001" customHeight="1">
      <c r="A49" s="145" t="s">
        <v>2948</v>
      </c>
      <c r="B49" s="146"/>
      <c r="C49" s="146"/>
      <c r="D49" s="145" t="s">
        <v>103</v>
      </c>
      <c r="E49" s="145"/>
      <c r="F49" s="147" t="s">
        <v>3</v>
      </c>
    </row>
    <row r="50" spans="1:6">
      <c r="F50" s="131" t="s">
        <v>2</v>
      </c>
    </row>
    <row r="51" spans="1:6">
      <c r="A51" s="145"/>
    </row>
    <row r="52" spans="1:6">
      <c r="F52" s="110" t="s">
        <v>1</v>
      </c>
    </row>
    <row r="53" spans="1:6">
      <c r="F53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 codeName="Sheet281">
    <pageSetUpPr fitToPage="1"/>
  </sheetPr>
  <dimension ref="A1:H56"/>
  <sheetViews>
    <sheetView view="pageBreakPreview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1.85546875" style="111" customWidth="1"/>
    <col min="4" max="4" width="23" style="111" customWidth="1"/>
    <col min="5" max="5" width="1.28515625" style="111" customWidth="1"/>
    <col min="6" max="6" width="13.42578125" style="111" customWidth="1"/>
    <col min="7" max="7" width="9.5703125" style="111" customWidth="1"/>
    <col min="8" max="8" width="15.28515625" style="111" customWidth="1"/>
    <col min="9" max="15" width="9.140625" style="111"/>
    <col min="16" max="16" width="9.7109375" style="111" bestFit="1" customWidth="1"/>
    <col min="17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483" t="s">
        <v>6990</v>
      </c>
    </row>
    <row r="10" spans="1:8">
      <c r="A10" s="111" t="s">
        <v>2524</v>
      </c>
      <c r="F10" s="112" t="s">
        <v>1162</v>
      </c>
      <c r="G10" s="487" t="s">
        <v>6981</v>
      </c>
    </row>
    <row r="11" spans="1:8">
      <c r="A11" s="111" t="s">
        <v>2525</v>
      </c>
      <c r="F11" s="112" t="s">
        <v>1163</v>
      </c>
      <c r="G11" s="484" t="s">
        <v>1094</v>
      </c>
    </row>
    <row r="12" spans="1:8">
      <c r="A12" s="111" t="s">
        <v>2526</v>
      </c>
      <c r="F12" s="112" t="s">
        <v>1135</v>
      </c>
      <c r="G12" s="486" t="s">
        <v>6991</v>
      </c>
    </row>
    <row r="13" spans="1:8">
      <c r="A13" s="111" t="s">
        <v>2527</v>
      </c>
      <c r="G13" s="483" t="s">
        <v>5914</v>
      </c>
    </row>
    <row r="14" spans="1:8">
      <c r="A14" s="111" t="s">
        <v>2528</v>
      </c>
    </row>
    <row r="16" spans="1:8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6992</v>
      </c>
      <c r="E18" s="2"/>
    </row>
    <row r="19" spans="1:8">
      <c r="A19" s="161"/>
      <c r="B19" s="116"/>
      <c r="C19" s="116"/>
      <c r="D19" s="2"/>
      <c r="E19" s="2"/>
    </row>
    <row r="20" spans="1:8">
      <c r="A20" s="485" t="s">
        <v>6984</v>
      </c>
      <c r="B20" s="485" t="s">
        <v>6993</v>
      </c>
      <c r="C20" s="121"/>
      <c r="D20" s="111" t="s">
        <v>6994</v>
      </c>
      <c r="H20" s="111">
        <v>2800</v>
      </c>
    </row>
    <row r="21" spans="1:8">
      <c r="B21" s="121"/>
      <c r="C21" s="121"/>
      <c r="D21" s="111" t="s">
        <v>6995</v>
      </c>
      <c r="H21" s="111">
        <v>840</v>
      </c>
    </row>
    <row r="22" spans="1:8">
      <c r="D22" s="111" t="s">
        <v>6996</v>
      </c>
      <c r="H22" s="111">
        <v>600</v>
      </c>
    </row>
    <row r="26" spans="1:8">
      <c r="A26" s="116"/>
      <c r="B26" s="116"/>
    </row>
    <row r="29" spans="1:8">
      <c r="A29" s="120" t="s">
        <v>11</v>
      </c>
    </row>
    <row r="30" spans="1:8">
      <c r="A30" s="120"/>
    </row>
    <row r="31" spans="1:8">
      <c r="A31" s="120"/>
    </row>
    <row r="32" spans="1:8">
      <c r="A32" s="116"/>
      <c r="B32" s="121"/>
      <c r="C32" s="121"/>
    </row>
    <row r="33" spans="1:8">
      <c r="B33" s="120"/>
      <c r="C33" s="120"/>
    </row>
    <row r="34" spans="1:8">
      <c r="B34" s="120"/>
      <c r="C34" s="120"/>
    </row>
    <row r="36" spans="1:8" ht="13.5" thickBot="1">
      <c r="H36" s="127">
        <f>SUM(H19:H35)</f>
        <v>4240</v>
      </c>
    </row>
    <row r="37" spans="1:8" ht="13.5" thickTop="1"/>
    <row r="38" spans="1:8" ht="20.100000000000001" customHeight="1">
      <c r="A38" s="118" t="s">
        <v>1133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Four Thousand Two Hundred Forty and NO/100 -----------</v>
      </c>
      <c r="C38" s="202"/>
      <c r="D38" s="119"/>
      <c r="E38" s="119"/>
      <c r="F38" s="119"/>
      <c r="G38" s="119"/>
      <c r="H38" s="261"/>
    </row>
    <row r="39" spans="1:8">
      <c r="A39" s="120"/>
      <c r="D39" s="433"/>
    </row>
    <row r="40" spans="1:8">
      <c r="A40" s="123" t="s">
        <v>10</v>
      </c>
      <c r="D40" s="441"/>
    </row>
    <row r="41" spans="1:8" ht="25.5">
      <c r="A41" s="126"/>
      <c r="D41" s="441"/>
      <c r="F41" s="265" t="s">
        <v>2894</v>
      </c>
      <c r="G41" s="266"/>
      <c r="H41" s="267"/>
    </row>
    <row r="42" spans="1:8">
      <c r="A42" s="123"/>
      <c r="D42" s="441"/>
    </row>
    <row r="43" spans="1:8">
      <c r="A43" s="123"/>
      <c r="D43" s="441"/>
      <c r="E43" s="121"/>
    </row>
    <row r="44" spans="1:8">
      <c r="A44" s="150"/>
      <c r="B44" s="122"/>
      <c r="D44" s="441"/>
    </row>
    <row r="45" spans="1:8">
      <c r="D45" s="442"/>
    </row>
    <row r="46" spans="1:8">
      <c r="D46" s="151"/>
    </row>
    <row r="47" spans="1:8">
      <c r="A47" s="123" t="s">
        <v>8</v>
      </c>
      <c r="D47" s="123" t="s">
        <v>8</v>
      </c>
      <c r="F47" s="123" t="s">
        <v>7</v>
      </c>
      <c r="H47" s="124"/>
    </row>
    <row r="48" spans="1:8">
      <c r="A48" s="123"/>
      <c r="D48" s="123"/>
    </row>
    <row r="49" spans="1:8">
      <c r="A49" s="123"/>
      <c r="D49" s="123"/>
    </row>
    <row r="50" spans="1:8">
      <c r="A50" s="123"/>
      <c r="D50" s="123"/>
    </row>
    <row r="51" spans="1:8">
      <c r="A51" s="150"/>
      <c r="B51" s="122"/>
      <c r="D51" s="150"/>
      <c r="F51" s="122"/>
      <c r="G51" s="122"/>
      <c r="H51" s="122"/>
    </row>
    <row r="52" spans="1:8" s="126" customFormat="1" ht="17.100000000000001" customHeight="1">
      <c r="A52" s="151" t="s">
        <v>2948</v>
      </c>
      <c r="B52" s="125"/>
      <c r="C52" s="125"/>
      <c r="D52" s="151" t="s">
        <v>103</v>
      </c>
      <c r="F52" s="126" t="s">
        <v>3</v>
      </c>
    </row>
    <row r="53" spans="1:8">
      <c r="A53" s="151"/>
      <c r="F53" s="111" t="s">
        <v>2</v>
      </c>
    </row>
    <row r="54" spans="1:8">
      <c r="A54" s="123"/>
    </row>
    <row r="55" spans="1:8">
      <c r="F55" s="2" t="s">
        <v>1</v>
      </c>
    </row>
    <row r="56" spans="1:8">
      <c r="F56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24D4E-016F-4795-BE80-0090687E4DBB}">
  <sheetPr codeName="Sheet580">
    <pageSetUpPr fitToPage="1"/>
  </sheetPr>
  <dimension ref="A1:H56"/>
  <sheetViews>
    <sheetView view="pageBreakPreview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1.85546875" style="111" customWidth="1"/>
    <col min="4" max="4" width="23" style="111" customWidth="1"/>
    <col min="5" max="5" width="1.28515625" style="111" customWidth="1"/>
    <col min="6" max="6" width="13.42578125" style="111" customWidth="1"/>
    <col min="7" max="7" width="9.5703125" style="111" customWidth="1"/>
    <col min="8" max="8" width="15.28515625" style="111" customWidth="1"/>
    <col min="9" max="15" width="9.140625" style="111"/>
    <col min="16" max="16" width="9.7109375" style="111" bestFit="1" customWidth="1"/>
    <col min="17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31" t="s">
        <v>5990</v>
      </c>
    </row>
    <row r="10" spans="1:8">
      <c r="A10" s="111" t="s">
        <v>2524</v>
      </c>
      <c r="F10" s="112" t="s">
        <v>1162</v>
      </c>
      <c r="G10" s="143" t="s">
        <v>5989</v>
      </c>
    </row>
    <row r="11" spans="1:8">
      <c r="A11" s="111" t="s">
        <v>5991</v>
      </c>
      <c r="F11" s="112" t="s">
        <v>1163</v>
      </c>
      <c r="G11" s="132" t="s">
        <v>1094</v>
      </c>
    </row>
    <row r="12" spans="1:8">
      <c r="A12" s="111" t="s">
        <v>5992</v>
      </c>
      <c r="F12" s="112" t="s">
        <v>1135</v>
      </c>
      <c r="G12" s="132" t="s">
        <v>5998</v>
      </c>
    </row>
    <row r="13" spans="1:8">
      <c r="A13" s="111" t="s">
        <v>2527</v>
      </c>
    </row>
    <row r="16" spans="1:8" s="15" customFormat="1" ht="20.100000000000001" customHeight="1">
      <c r="A16" s="18" t="s">
        <v>1140</v>
      </c>
      <c r="B16" s="465" t="s">
        <v>1098</v>
      </c>
      <c r="C16" s="465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5985</v>
      </c>
      <c r="E18" s="2"/>
    </row>
    <row r="19" spans="1:8">
      <c r="A19" s="161"/>
      <c r="B19" s="116"/>
      <c r="C19" s="116"/>
      <c r="D19" s="2" t="s">
        <v>5986</v>
      </c>
      <c r="E19" s="2"/>
    </row>
    <row r="20" spans="1:8">
      <c r="A20" s="116"/>
      <c r="B20" s="116"/>
      <c r="C20" s="121"/>
    </row>
    <row r="21" spans="1:8">
      <c r="A21" s="116" t="s">
        <v>5993</v>
      </c>
      <c r="B21" s="116" t="s">
        <v>5994</v>
      </c>
      <c r="C21" s="121"/>
      <c r="D21" s="111" t="s">
        <v>5995</v>
      </c>
      <c r="H21" s="111">
        <v>7050</v>
      </c>
    </row>
    <row r="22" spans="1:8">
      <c r="D22" s="111" t="s">
        <v>5996</v>
      </c>
      <c r="H22" s="111">
        <v>3240</v>
      </c>
    </row>
    <row r="23" spans="1:8">
      <c r="D23" s="111" t="s">
        <v>5997</v>
      </c>
      <c r="H23" s="111">
        <v>200</v>
      </c>
    </row>
    <row r="26" spans="1:8">
      <c r="A26" s="116"/>
      <c r="B26" s="116"/>
    </row>
    <row r="29" spans="1:8">
      <c r="A29" s="120" t="s">
        <v>11</v>
      </c>
    </row>
    <row r="30" spans="1:8">
      <c r="A30" s="120"/>
    </row>
    <row r="31" spans="1:8">
      <c r="A31" s="120"/>
    </row>
    <row r="32" spans="1:8">
      <c r="A32" s="116"/>
      <c r="B32" s="121"/>
      <c r="C32" s="121"/>
    </row>
    <row r="33" spans="1:8">
      <c r="B33" s="120"/>
      <c r="C33" s="120"/>
    </row>
    <row r="34" spans="1:8">
      <c r="B34" s="120"/>
      <c r="C34" s="120"/>
    </row>
    <row r="36" spans="1:8" ht="13.5" thickBot="1">
      <c r="H36" s="127">
        <f>SUM(H19:H35)</f>
        <v>10490</v>
      </c>
    </row>
    <row r="37" spans="1:8" ht="13.5" thickTop="1"/>
    <row r="38" spans="1:8" ht="20.100000000000001" customHeight="1">
      <c r="A38" s="118" t="s">
        <v>1133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Ten Thousand Four Hundred Ninety and NO/100 -----------</v>
      </c>
      <c r="C38" s="202"/>
      <c r="D38" s="119"/>
      <c r="E38" s="119"/>
      <c r="F38" s="119"/>
      <c r="G38" s="119"/>
      <c r="H38" s="261"/>
    </row>
    <row r="39" spans="1:8">
      <c r="A39" s="120"/>
      <c r="D39" s="433"/>
    </row>
    <row r="40" spans="1:8">
      <c r="A40" s="123" t="s">
        <v>10</v>
      </c>
      <c r="D40" s="441"/>
    </row>
    <row r="41" spans="1:8" ht="25.5">
      <c r="A41" s="126"/>
      <c r="D41" s="441"/>
      <c r="F41" s="265" t="s">
        <v>2894</v>
      </c>
      <c r="G41" s="266"/>
      <c r="H41" s="267"/>
    </row>
    <row r="42" spans="1:8">
      <c r="A42" s="123"/>
      <c r="D42" s="441"/>
    </row>
    <row r="43" spans="1:8">
      <c r="A43" s="123"/>
      <c r="D43" s="441"/>
      <c r="E43" s="121"/>
    </row>
    <row r="44" spans="1:8">
      <c r="A44" s="150"/>
      <c r="B44" s="122"/>
      <c r="D44" s="441"/>
    </row>
    <row r="45" spans="1:8">
      <c r="D45" s="442"/>
    </row>
    <row r="46" spans="1:8">
      <c r="D46" s="151"/>
    </row>
    <row r="47" spans="1:8">
      <c r="A47" s="123" t="s">
        <v>8</v>
      </c>
      <c r="D47" s="123" t="s">
        <v>8</v>
      </c>
      <c r="F47" s="123" t="s">
        <v>7</v>
      </c>
      <c r="H47" s="124"/>
    </row>
    <row r="48" spans="1:8">
      <c r="A48" s="123"/>
      <c r="D48" s="123"/>
    </row>
    <row r="49" spans="1:8">
      <c r="A49" s="123"/>
      <c r="D49" s="123"/>
    </row>
    <row r="50" spans="1:8">
      <c r="A50" s="123"/>
      <c r="D50" s="123"/>
    </row>
    <row r="51" spans="1:8">
      <c r="A51" s="150"/>
      <c r="B51" s="122"/>
      <c r="D51" s="150"/>
      <c r="F51" s="122"/>
      <c r="G51" s="122"/>
      <c r="H51" s="122"/>
    </row>
    <row r="52" spans="1:8" s="126" customFormat="1" ht="17.100000000000001" customHeight="1">
      <c r="A52" s="151" t="s">
        <v>2948</v>
      </c>
      <c r="B52" s="125"/>
      <c r="C52" s="125"/>
      <c r="D52" s="151" t="s">
        <v>103</v>
      </c>
      <c r="F52" s="126" t="s">
        <v>3</v>
      </c>
    </row>
    <row r="53" spans="1:8">
      <c r="A53" s="151"/>
      <c r="F53" s="111" t="s">
        <v>2</v>
      </c>
    </row>
    <row r="54" spans="1:8">
      <c r="A54" s="123"/>
    </row>
    <row r="55" spans="1:8">
      <c r="F55" s="2" t="s">
        <v>1</v>
      </c>
    </row>
    <row r="56" spans="1:8">
      <c r="F56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Sheet282">
    <pageSetUpPr fitToPage="1"/>
  </sheetPr>
  <dimension ref="A1:I52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1.85546875" style="111" customWidth="1"/>
    <col min="3" max="3" width="1.5703125" style="483" customWidth="1"/>
    <col min="4" max="4" width="21" style="111" customWidth="1"/>
    <col min="5" max="5" width="1.5703125" style="483" customWidth="1"/>
    <col min="6" max="6" width="12.85546875" style="111" customWidth="1"/>
    <col min="7" max="7" width="8.28515625" style="111" customWidth="1"/>
    <col min="8" max="8" width="13.28515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1123</v>
      </c>
      <c r="G9" s="489" t="s">
        <v>6759</v>
      </c>
    </row>
    <row r="10" spans="1:8">
      <c r="A10" s="111" t="s">
        <v>2583</v>
      </c>
      <c r="F10" s="112" t="s">
        <v>1124</v>
      </c>
      <c r="G10" s="489" t="s">
        <v>6758</v>
      </c>
    </row>
    <row r="11" spans="1:8">
      <c r="A11" s="111" t="s">
        <v>2584</v>
      </c>
      <c r="F11" s="112" t="s">
        <v>1125</v>
      </c>
      <c r="G11" s="489" t="s">
        <v>1094</v>
      </c>
    </row>
    <row r="12" spans="1:8">
      <c r="A12" s="111" t="s">
        <v>1323</v>
      </c>
      <c r="F12" s="112" t="s">
        <v>1096</v>
      </c>
      <c r="G12" s="483" t="s">
        <v>6760</v>
      </c>
    </row>
    <row r="13" spans="1:8">
      <c r="A13" s="111" t="s">
        <v>2585</v>
      </c>
      <c r="G13" s="483" t="s">
        <v>6182</v>
      </c>
    </row>
    <row r="16" spans="1:8" s="15" customFormat="1" ht="20.100000000000001" customHeight="1">
      <c r="A16" s="18" t="s">
        <v>1140</v>
      </c>
      <c r="B16" s="129" t="s">
        <v>1098</v>
      </c>
      <c r="C16" s="516"/>
      <c r="D16" s="19" t="s">
        <v>14</v>
      </c>
      <c r="E16" s="19"/>
      <c r="F16" s="18"/>
      <c r="G16" s="17"/>
      <c r="H16" s="16" t="s">
        <v>13</v>
      </c>
    </row>
    <row r="18" spans="1:9">
      <c r="D18" s="482" t="s">
        <v>6761</v>
      </c>
      <c r="E18" s="482"/>
      <c r="F18" s="483"/>
      <c r="G18" s="483"/>
      <c r="H18" s="483"/>
      <c r="I18" s="242"/>
    </row>
    <row r="19" spans="1:9">
      <c r="D19" s="483"/>
      <c r="F19" s="483"/>
      <c r="G19" s="483"/>
      <c r="H19" s="483"/>
    </row>
    <row r="20" spans="1:9">
      <c r="A20" s="116"/>
      <c r="B20" s="121"/>
      <c r="C20" s="121"/>
      <c r="D20" s="483" t="s">
        <v>6763</v>
      </c>
      <c r="F20" s="483"/>
      <c r="G20" s="483"/>
      <c r="H20" s="483">
        <v>800</v>
      </c>
    </row>
    <row r="21" spans="1:9">
      <c r="B21" s="120"/>
      <c r="C21" s="486"/>
      <c r="D21" s="483" t="s">
        <v>6762</v>
      </c>
      <c r="F21" s="483"/>
      <c r="G21" s="483"/>
      <c r="H21" s="149"/>
    </row>
    <row r="22" spans="1:9">
      <c r="A22" s="116"/>
      <c r="B22" s="121"/>
      <c r="C22" s="121"/>
      <c r="D22" s="483"/>
      <c r="F22" s="483"/>
      <c r="G22" s="483"/>
      <c r="H22" s="483"/>
    </row>
    <row r="24" spans="1:9">
      <c r="A24" s="116"/>
      <c r="B24" s="116"/>
      <c r="C24" s="485"/>
    </row>
    <row r="26" spans="1:9">
      <c r="A26" s="116"/>
      <c r="B26" s="116"/>
      <c r="C26" s="485"/>
    </row>
    <row r="28" spans="1:9">
      <c r="A28" s="116"/>
      <c r="B28" s="116"/>
      <c r="C28" s="485"/>
      <c r="D28" s="2"/>
      <c r="E28" s="482"/>
    </row>
    <row r="30" spans="1:9">
      <c r="A30" s="116"/>
      <c r="B30" s="121"/>
      <c r="C30" s="121"/>
    </row>
    <row r="33" spans="1:8" ht="13.5" thickBot="1">
      <c r="H33" s="117">
        <f>SUM(H20:H32)</f>
        <v>800</v>
      </c>
    </row>
    <row r="34" spans="1:8" ht="13.5" thickTop="1"/>
    <row r="35" spans="1:8" ht="20.100000000000001" customHeight="1">
      <c r="A35" s="118" t="s">
        <v>1133</v>
      </c>
      <c r="B35" s="202" t="s">
        <v>2593</v>
      </c>
      <c r="C35" s="202"/>
      <c r="D35" s="119"/>
      <c r="E35" s="119"/>
      <c r="F35" s="119"/>
      <c r="G35" s="119"/>
      <c r="H35" s="119"/>
    </row>
    <row r="36" spans="1:8">
      <c r="A36" s="120" t="s">
        <v>11</v>
      </c>
    </row>
    <row r="37" spans="1:8">
      <c r="A37" s="111" t="s">
        <v>10</v>
      </c>
    </row>
    <row r="39" spans="1:8" ht="25.5">
      <c r="A39" s="126"/>
      <c r="F39" s="265" t="s">
        <v>2894</v>
      </c>
      <c r="G39" s="266"/>
      <c r="H39" s="267"/>
    </row>
    <row r="40" spans="1:8">
      <c r="D40" s="121"/>
      <c r="E40" s="121"/>
    </row>
    <row r="41" spans="1:8">
      <c r="A41" s="122"/>
      <c r="B41" s="122"/>
      <c r="C41" s="433"/>
    </row>
    <row r="43" spans="1:8">
      <c r="A43" s="123" t="s">
        <v>8</v>
      </c>
      <c r="D43" s="487" t="s">
        <v>8</v>
      </c>
      <c r="F43" s="123" t="s">
        <v>7</v>
      </c>
      <c r="H43" s="124"/>
    </row>
    <row r="44" spans="1:8">
      <c r="D44" s="483"/>
    </row>
    <row r="45" spans="1:8">
      <c r="D45" s="483"/>
    </row>
    <row r="46" spans="1:8">
      <c r="D46" s="483"/>
    </row>
    <row r="47" spans="1:8">
      <c r="A47" s="122"/>
      <c r="B47" s="122"/>
      <c r="C47" s="433"/>
      <c r="D47" s="122"/>
      <c r="F47" s="122"/>
      <c r="G47" s="122"/>
      <c r="H47" s="122"/>
    </row>
    <row r="48" spans="1:8" s="126" customFormat="1" ht="17.100000000000001" customHeight="1">
      <c r="A48" s="151" t="s">
        <v>2948</v>
      </c>
      <c r="B48" s="125"/>
      <c r="C48" s="125"/>
      <c r="D48" s="151" t="s">
        <v>103</v>
      </c>
      <c r="F48" s="126" t="s">
        <v>3</v>
      </c>
    </row>
    <row r="49" spans="1:6">
      <c r="F49" s="111" t="s">
        <v>2</v>
      </c>
    </row>
    <row r="50" spans="1:6">
      <c r="A50" s="151"/>
    </row>
    <row r="51" spans="1:6">
      <c r="F51" s="2" t="s">
        <v>1</v>
      </c>
    </row>
    <row r="52" spans="1:6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 codeName="Sheet283">
    <pageSetUpPr fitToPage="1"/>
  </sheetPr>
  <dimension ref="A1:F54"/>
  <sheetViews>
    <sheetView topLeftCell="A22" workbookViewId="0">
      <selection activeCell="G9" sqref="G9:G13"/>
    </sheetView>
  </sheetViews>
  <sheetFormatPr defaultRowHeight="12.75"/>
  <cols>
    <col min="1" max="1" width="15.42578125" style="111" customWidth="1"/>
    <col min="2" max="2" width="12.42578125" style="111" customWidth="1"/>
    <col min="3" max="3" width="21" style="111" customWidth="1"/>
    <col min="4" max="4" width="12.28515625" style="111" customWidth="1"/>
    <col min="5" max="5" width="12.5703125" style="111" customWidth="1"/>
    <col min="6" max="6" width="13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1716</v>
      </c>
      <c r="E9" s="111" t="s">
        <v>4878</v>
      </c>
    </row>
    <row r="10" spans="1:6">
      <c r="A10" s="111" t="s">
        <v>2603</v>
      </c>
      <c r="D10" s="112" t="s">
        <v>1162</v>
      </c>
      <c r="E10" s="111" t="s">
        <v>4877</v>
      </c>
    </row>
    <row r="11" spans="1:6">
      <c r="A11" s="111" t="s">
        <v>2604</v>
      </c>
      <c r="D11" s="112" t="s">
        <v>1163</v>
      </c>
      <c r="E11" s="111" t="s">
        <v>1094</v>
      </c>
    </row>
    <row r="12" spans="1:6">
      <c r="A12" s="111" t="s">
        <v>2605</v>
      </c>
      <c r="D12" s="112" t="s">
        <v>1096</v>
      </c>
      <c r="E12" s="111" t="s">
        <v>4879</v>
      </c>
    </row>
    <row r="13" spans="1:6">
      <c r="A13" s="111" t="s">
        <v>2606</v>
      </c>
    </row>
    <row r="14" spans="1:6">
      <c r="A14" s="111" t="s">
        <v>2607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8" spans="1:6">
      <c r="C18" s="2" t="s">
        <v>4830</v>
      </c>
    </row>
    <row r="20" spans="1:6">
      <c r="A20" s="116" t="s">
        <v>4744</v>
      </c>
      <c r="B20" s="116" t="s">
        <v>4880</v>
      </c>
      <c r="C20" s="111" t="s">
        <v>4881</v>
      </c>
      <c r="F20" s="111">
        <f>18.8679*41</f>
        <v>773.58389999999997</v>
      </c>
    </row>
    <row r="21" spans="1:6">
      <c r="A21" s="116"/>
      <c r="B21" s="121"/>
      <c r="C21" s="111" t="s">
        <v>1814</v>
      </c>
      <c r="F21" s="111">
        <f>F20*6%</f>
        <v>46.415033999999999</v>
      </c>
    </row>
    <row r="22" spans="1:6">
      <c r="A22" s="116"/>
      <c r="B22" s="121"/>
      <c r="C22" s="2"/>
    </row>
    <row r="23" spans="1:6">
      <c r="A23" s="116"/>
      <c r="B23" s="121"/>
    </row>
    <row r="24" spans="1:6">
      <c r="A24" s="116"/>
      <c r="B24" s="121"/>
    </row>
    <row r="25" spans="1:6">
      <c r="A25" s="116"/>
      <c r="B25" s="121"/>
    </row>
    <row r="26" spans="1:6">
      <c r="A26" s="120"/>
    </row>
    <row r="28" spans="1:6">
      <c r="A28" s="116"/>
      <c r="B28" s="121"/>
    </row>
    <row r="29" spans="1:6">
      <c r="A29" s="116"/>
      <c r="B29" s="121"/>
    </row>
    <row r="30" spans="1:6">
      <c r="A30" s="116"/>
      <c r="B30" s="121"/>
    </row>
    <row r="31" spans="1:6">
      <c r="A31" s="116"/>
      <c r="B31" s="121"/>
    </row>
    <row r="32" spans="1:6">
      <c r="C32" s="2"/>
    </row>
    <row r="33" spans="1:6">
      <c r="A33" s="116"/>
      <c r="B33" s="121"/>
    </row>
    <row r="35" spans="1:6" ht="13.5" thickBot="1">
      <c r="F35" s="127">
        <f>SUM(F18:F34)</f>
        <v>819.99893399999996</v>
      </c>
    </row>
    <row r="36" spans="1:6" ht="13.5" thickTop="1"/>
    <row r="37" spans="1:6" ht="20.100000000000001" customHeight="1">
      <c r="A37" s="118" t="s">
        <v>1717</v>
      </c>
      <c r="B37" s="202" t="s">
        <v>2608</v>
      </c>
      <c r="C37" s="119"/>
      <c r="D37" s="119"/>
      <c r="E37" s="119"/>
      <c r="F37" s="119"/>
    </row>
    <row r="38" spans="1:6">
      <c r="A38" s="120"/>
    </row>
    <row r="39" spans="1:6" ht="25.5">
      <c r="A39" s="126" t="s">
        <v>10</v>
      </c>
      <c r="D39" s="265" t="s">
        <v>2894</v>
      </c>
      <c r="E39" s="266"/>
      <c r="F39" s="267"/>
    </row>
    <row r="40" spans="1:6">
      <c r="A40" s="123"/>
    </row>
    <row r="41" spans="1:6">
      <c r="A41" s="123"/>
    </row>
    <row r="42" spans="1:6">
      <c r="A42" s="123"/>
      <c r="C42" s="121"/>
    </row>
    <row r="43" spans="1:6">
      <c r="A43" s="150"/>
      <c r="B43" s="122"/>
    </row>
    <row r="44" spans="1:6">
      <c r="A44" s="123"/>
    </row>
    <row r="45" spans="1:6">
      <c r="A45" s="123" t="s">
        <v>8</v>
      </c>
      <c r="D45" s="123" t="s">
        <v>7</v>
      </c>
      <c r="F45" s="124"/>
    </row>
    <row r="46" spans="1:6">
      <c r="A46" s="123"/>
    </row>
    <row r="47" spans="1:6">
      <c r="A47" s="123"/>
    </row>
    <row r="48" spans="1:6">
      <c r="A48" s="123"/>
    </row>
    <row r="49" spans="1:6">
      <c r="A49" s="150"/>
      <c r="B49" s="122"/>
      <c r="D49" s="122"/>
      <c r="E49" s="122"/>
      <c r="F49" s="122"/>
    </row>
    <row r="50" spans="1:6" s="126" customFormat="1" ht="17.100000000000001" customHeight="1">
      <c r="A50" s="151" t="s">
        <v>2948</v>
      </c>
      <c r="B50" s="125"/>
      <c r="D50" s="126" t="s">
        <v>3</v>
      </c>
    </row>
    <row r="51" spans="1:6">
      <c r="A51" s="123"/>
      <c r="D51" s="111" t="s">
        <v>2</v>
      </c>
    </row>
    <row r="52" spans="1:6">
      <c r="A52" s="123"/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Sheet284">
    <pageSetUpPr fitToPage="1"/>
  </sheetPr>
  <dimension ref="A1:F52"/>
  <sheetViews>
    <sheetView topLeftCell="A16" workbookViewId="0">
      <selection activeCell="G9" sqref="G9:G13"/>
    </sheetView>
  </sheetViews>
  <sheetFormatPr defaultRowHeight="12.75"/>
  <cols>
    <col min="1" max="1" width="15.85546875" style="111" customWidth="1"/>
    <col min="2" max="2" width="12.140625" style="111" customWidth="1"/>
    <col min="3" max="3" width="23" style="111" customWidth="1"/>
    <col min="4" max="4" width="13.5703125" style="111" customWidth="1"/>
    <col min="5" max="5" width="9.5703125" style="111" customWidth="1"/>
    <col min="6" max="6" width="13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1090</v>
      </c>
      <c r="E9" s="111" t="s">
        <v>3247</v>
      </c>
    </row>
    <row r="10" spans="1:6">
      <c r="A10" s="111" t="s">
        <v>2143</v>
      </c>
      <c r="D10" s="112" t="s">
        <v>1340</v>
      </c>
      <c r="E10" s="123" t="s">
        <v>3240</v>
      </c>
    </row>
    <row r="11" spans="1:6">
      <c r="A11" s="111" t="s">
        <v>2144</v>
      </c>
      <c r="D11" s="112" t="s">
        <v>1341</v>
      </c>
      <c r="E11" s="112" t="s">
        <v>1094</v>
      </c>
    </row>
    <row r="12" spans="1:6">
      <c r="A12" s="111" t="s">
        <v>1572</v>
      </c>
      <c r="D12" s="112" t="s">
        <v>1135</v>
      </c>
      <c r="E12" s="120" t="s">
        <v>3244</v>
      </c>
    </row>
    <row r="13" spans="1:6">
      <c r="A13" s="111" t="s">
        <v>2664</v>
      </c>
    </row>
    <row r="14" spans="1:6">
      <c r="A14" s="111" t="s">
        <v>2146</v>
      </c>
    </row>
    <row r="15" spans="1:6">
      <c r="A15" s="111" t="s">
        <v>2665</v>
      </c>
    </row>
    <row r="16" spans="1:6" s="15" customFormat="1" ht="20.100000000000001" customHeight="1">
      <c r="A16" s="18" t="s">
        <v>1113</v>
      </c>
      <c r="B16" s="129" t="s">
        <v>1114</v>
      </c>
      <c r="C16" s="533" t="s">
        <v>14</v>
      </c>
      <c r="D16" s="533"/>
      <c r="E16" s="17"/>
      <c r="F16" s="16" t="s">
        <v>13</v>
      </c>
    </row>
    <row r="18" spans="1:6">
      <c r="A18" s="116"/>
      <c r="B18" s="116"/>
      <c r="C18" s="2" t="s">
        <v>3248</v>
      </c>
    </row>
    <row r="19" spans="1:6">
      <c r="C19" s="2"/>
    </row>
    <row r="20" spans="1:6">
      <c r="A20" s="116" t="s">
        <v>3249</v>
      </c>
      <c r="B20" s="111" t="s">
        <v>3250</v>
      </c>
      <c r="C20" s="111" t="s">
        <v>3251</v>
      </c>
      <c r="F20" s="111">
        <v>40</v>
      </c>
    </row>
    <row r="21" spans="1:6">
      <c r="A21" s="116"/>
      <c r="B21" s="116"/>
    </row>
    <row r="22" spans="1:6">
      <c r="A22" s="116"/>
      <c r="B22" s="116"/>
    </row>
    <row r="24" spans="1:6">
      <c r="A24" s="116"/>
      <c r="B24" s="116"/>
    </row>
    <row r="33" spans="1:6" ht="13.5" thickBot="1">
      <c r="F33" s="117">
        <f>SUM(F20:F32)</f>
        <v>40</v>
      </c>
    </row>
    <row r="34" spans="1:6" ht="13.5" thickTop="1"/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Forty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5">
    <mergeCell ref="A1:F1"/>
    <mergeCell ref="A2:F2"/>
    <mergeCell ref="A3:F3"/>
    <mergeCell ref="A4:F4"/>
    <mergeCell ref="C16:D16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 codeName="Sheet285"/>
  <dimension ref="A1:H52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42578125" style="131" customWidth="1"/>
    <col min="2" max="2" width="15" style="131" customWidth="1"/>
    <col min="3" max="3" width="1.28515625" style="131" customWidth="1"/>
    <col min="4" max="4" width="21" style="131" customWidth="1"/>
    <col min="5" max="5" width="1.140625" style="131" customWidth="1"/>
    <col min="6" max="6" width="12.28515625" style="131" customWidth="1"/>
    <col min="7" max="7" width="9.28515625" style="131" customWidth="1"/>
    <col min="8" max="8" width="13.28515625" style="131" customWidth="1"/>
    <col min="9" max="16384" width="9.140625" style="131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1716</v>
      </c>
      <c r="G9" s="488" t="s">
        <v>6519</v>
      </c>
    </row>
    <row r="10" spans="1:8">
      <c r="A10" s="131" t="s">
        <v>2673</v>
      </c>
      <c r="F10" s="132" t="s">
        <v>1162</v>
      </c>
      <c r="G10" s="489" t="s">
        <v>6518</v>
      </c>
    </row>
    <row r="11" spans="1:8">
      <c r="F11" s="132" t="s">
        <v>1163</v>
      </c>
      <c r="G11" s="489" t="s">
        <v>1094</v>
      </c>
    </row>
    <row r="12" spans="1:8">
      <c r="F12" s="132" t="s">
        <v>1096</v>
      </c>
      <c r="G12" s="489" t="s">
        <v>6520</v>
      </c>
    </row>
    <row r="13" spans="1:8">
      <c r="G13" s="488" t="s">
        <v>5914</v>
      </c>
    </row>
    <row r="14" spans="1:8">
      <c r="G14" s="483"/>
    </row>
    <row r="16" spans="1:8" s="95" customFormat="1" ht="20.100000000000001" customHeight="1">
      <c r="A16" s="90" t="s">
        <v>1113</v>
      </c>
      <c r="B16" s="90" t="s">
        <v>1114</v>
      </c>
      <c r="C16" s="90"/>
      <c r="D16" s="92" t="s">
        <v>14</v>
      </c>
      <c r="E16" s="92"/>
      <c r="F16" s="90"/>
      <c r="G16" s="93"/>
      <c r="H16" s="94" t="s">
        <v>13</v>
      </c>
    </row>
    <row r="18" spans="1:8">
      <c r="D18" s="95" t="s">
        <v>6523</v>
      </c>
      <c r="E18" s="95"/>
    </row>
    <row r="19" spans="1:8">
      <c r="A19" s="158"/>
      <c r="B19" s="141"/>
      <c r="C19" s="141"/>
      <c r="D19" s="95"/>
      <c r="E19" s="95"/>
    </row>
    <row r="20" spans="1:8">
      <c r="A20" s="492" t="s">
        <v>6521</v>
      </c>
      <c r="B20" s="492" t="s">
        <v>6522</v>
      </c>
      <c r="C20" s="158"/>
      <c r="D20" s="131" t="s">
        <v>6089</v>
      </c>
      <c r="H20" s="131">
        <f>5.6*2</f>
        <v>11.2</v>
      </c>
    </row>
    <row r="22" spans="1:8">
      <c r="D22" s="95"/>
      <c r="E22" s="95"/>
    </row>
    <row r="23" spans="1:8">
      <c r="A23" s="158"/>
      <c r="B23" s="158"/>
      <c r="C23" s="158"/>
    </row>
    <row r="24" spans="1:8" s="488" customFormat="1">
      <c r="A24" s="492"/>
      <c r="B24" s="492"/>
      <c r="C24" s="492"/>
    </row>
    <row r="25" spans="1:8">
      <c r="A25" s="158"/>
      <c r="B25" s="158"/>
      <c r="C25" s="158"/>
    </row>
    <row r="26" spans="1:8">
      <c r="A26" s="158"/>
      <c r="B26" s="158"/>
      <c r="C26" s="158"/>
    </row>
    <row r="27" spans="1:8">
      <c r="A27" s="158"/>
      <c r="B27" s="158"/>
      <c r="C27" s="158"/>
      <c r="D27" s="95"/>
      <c r="E27" s="95"/>
    </row>
    <row r="28" spans="1:8">
      <c r="A28" s="158"/>
      <c r="B28" s="158"/>
      <c r="C28" s="158"/>
      <c r="D28" s="95"/>
      <c r="E28" s="95"/>
    </row>
    <row r="29" spans="1:8">
      <c r="A29" s="158"/>
      <c r="B29" s="158"/>
      <c r="C29" s="158"/>
    </row>
    <row r="30" spans="1:8">
      <c r="A30" s="158"/>
      <c r="B30" s="158"/>
      <c r="C30" s="158"/>
    </row>
    <row r="31" spans="1:8">
      <c r="B31" s="140"/>
      <c r="C31" s="140"/>
    </row>
    <row r="33" spans="1:8" ht="13.5" thickBot="1">
      <c r="H33" s="164">
        <f>SUM(H18:H32)</f>
        <v>11.2</v>
      </c>
    </row>
    <row r="34" spans="1:8" ht="13.5" thickTop="1"/>
    <row r="35" spans="1:8" ht="20.100000000000001" customHeight="1">
      <c r="A35" s="138" t="s">
        <v>204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Eleven and 20/100 -----------</v>
      </c>
      <c r="C35" s="202"/>
      <c r="D35" s="139"/>
      <c r="E35" s="139"/>
      <c r="F35" s="139"/>
      <c r="G35" s="139"/>
      <c r="H35" s="262"/>
    </row>
    <row r="36" spans="1:8">
      <c r="A36" s="140"/>
    </row>
    <row r="37" spans="1:8" ht="25.5">
      <c r="A37" s="143" t="s">
        <v>10</v>
      </c>
      <c r="F37" s="265" t="s">
        <v>2894</v>
      </c>
      <c r="G37" s="266"/>
      <c r="H37" s="267"/>
    </row>
    <row r="38" spans="1:8">
      <c r="A38" s="143"/>
    </row>
    <row r="39" spans="1:8">
      <c r="A39" s="147"/>
    </row>
    <row r="40" spans="1:8">
      <c r="A40" s="143"/>
      <c r="D40" s="141"/>
      <c r="E40" s="141"/>
    </row>
    <row r="41" spans="1:8">
      <c r="A41" s="248"/>
      <c r="B41" s="142"/>
      <c r="C41" s="445"/>
    </row>
    <row r="42" spans="1:8">
      <c r="A42" s="143"/>
    </row>
    <row r="43" spans="1:8">
      <c r="A43" s="143" t="s">
        <v>8</v>
      </c>
      <c r="D43" s="143" t="s">
        <v>8</v>
      </c>
      <c r="F43" s="143" t="s">
        <v>7</v>
      </c>
      <c r="H43" s="144"/>
    </row>
    <row r="44" spans="1:8">
      <c r="A44" s="143"/>
      <c r="D44" s="143"/>
    </row>
    <row r="45" spans="1:8">
      <c r="A45" s="143"/>
      <c r="D45" s="143"/>
    </row>
    <row r="46" spans="1:8">
      <c r="A46" s="143"/>
      <c r="D46" s="143"/>
    </row>
    <row r="47" spans="1:8">
      <c r="A47" s="248"/>
      <c r="B47" s="142"/>
      <c r="C47" s="445"/>
      <c r="D47" s="248"/>
      <c r="F47" s="142"/>
      <c r="G47" s="142"/>
      <c r="H47" s="142"/>
    </row>
    <row r="48" spans="1:8" s="147" customFormat="1" ht="17.100000000000001" customHeight="1">
      <c r="A48" s="145" t="s">
        <v>2948</v>
      </c>
      <c r="B48" s="146"/>
      <c r="C48" s="146"/>
      <c r="D48" s="145" t="s">
        <v>103</v>
      </c>
      <c r="F48" s="147" t="s">
        <v>3</v>
      </c>
    </row>
    <row r="49" spans="1:6">
      <c r="A49" s="143"/>
      <c r="F49" s="131" t="s">
        <v>2</v>
      </c>
    </row>
    <row r="50" spans="1:6">
      <c r="A50" s="145"/>
    </row>
    <row r="51" spans="1:6">
      <c r="F51" s="110" t="s">
        <v>1</v>
      </c>
    </row>
    <row r="52" spans="1:6">
      <c r="F52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Sheet286">
    <pageSetUpPr fitToPage="1"/>
  </sheetPr>
  <dimension ref="A1:H54"/>
  <sheetViews>
    <sheetView topLeftCell="A10" workbookViewId="0">
      <selection activeCell="G9" sqref="G9:G13"/>
    </sheetView>
  </sheetViews>
  <sheetFormatPr defaultRowHeight="12.75"/>
  <cols>
    <col min="1" max="1" width="15.42578125" style="111" customWidth="1"/>
    <col min="2" max="2" width="12.42578125" style="111" customWidth="1"/>
    <col min="3" max="3" width="2" style="111" customWidth="1"/>
    <col min="4" max="4" width="22.42578125" style="111" customWidth="1"/>
    <col min="5" max="5" width="2.85546875" style="111" customWidth="1"/>
    <col min="6" max="6" width="12.140625" style="111" customWidth="1"/>
    <col min="7" max="7" width="9.7109375" style="111" customWidth="1"/>
    <col min="8" max="8" width="13.710937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1221</v>
      </c>
      <c r="G9" s="111" t="s">
        <v>5056</v>
      </c>
    </row>
    <row r="10" spans="1:8">
      <c r="A10" s="111" t="s">
        <v>2733</v>
      </c>
      <c r="F10" s="112" t="s">
        <v>1124</v>
      </c>
      <c r="G10" s="112" t="s">
        <v>5070</v>
      </c>
    </row>
    <row r="11" spans="1:8">
      <c r="A11" s="111" t="s">
        <v>5057</v>
      </c>
      <c r="F11" s="112" t="s">
        <v>1125</v>
      </c>
      <c r="G11" s="112" t="s">
        <v>1094</v>
      </c>
    </row>
    <row r="12" spans="1:8">
      <c r="A12" s="111" t="s">
        <v>5058</v>
      </c>
      <c r="F12" s="112" t="s">
        <v>1126</v>
      </c>
      <c r="G12" s="112" t="s">
        <v>1270</v>
      </c>
    </row>
    <row r="13" spans="1:8">
      <c r="A13" s="111" t="s">
        <v>5059</v>
      </c>
    </row>
    <row r="16" spans="1:8" s="15" customFormat="1" ht="20.100000000000001" customHeight="1">
      <c r="A16" s="18" t="s">
        <v>1113</v>
      </c>
      <c r="B16" s="129" t="s">
        <v>1114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A18" s="148"/>
      <c r="D18" s="2" t="s">
        <v>5060</v>
      </c>
      <c r="E18" s="2"/>
    </row>
    <row r="20" spans="1:8">
      <c r="A20" s="116" t="s">
        <v>5061</v>
      </c>
      <c r="B20" s="313" t="s">
        <v>5062</v>
      </c>
      <c r="C20" s="120"/>
      <c r="D20" s="120" t="s">
        <v>5063</v>
      </c>
      <c r="E20" s="120"/>
      <c r="H20" s="111">
        <f>14160*4.1373</f>
        <v>58584.167999999998</v>
      </c>
    </row>
    <row r="21" spans="1:8">
      <c r="A21" s="159"/>
      <c r="D21" s="111" t="s">
        <v>5065</v>
      </c>
      <c r="H21" s="111">
        <f>1500*4.1373</f>
        <v>6205.95</v>
      </c>
    </row>
    <row r="22" spans="1:8">
      <c r="A22" s="252"/>
      <c r="D22" s="111" t="s">
        <v>5066</v>
      </c>
      <c r="H22" s="111">
        <f>3000*4.1373</f>
        <v>12411.9</v>
      </c>
    </row>
    <row r="23" spans="1:8">
      <c r="B23" s="157"/>
      <c r="C23" s="157"/>
      <c r="D23" s="111" t="s">
        <v>5067</v>
      </c>
      <c r="E23" s="2"/>
      <c r="H23" s="111">
        <f>35*4.1373</f>
        <v>144.80549999999999</v>
      </c>
    </row>
    <row r="24" spans="1:8">
      <c r="B24" s="157"/>
      <c r="C24" s="157"/>
      <c r="D24" s="111" t="s">
        <v>5068</v>
      </c>
      <c r="H24" s="111">
        <f>35*4.1373</f>
        <v>144.80549999999999</v>
      </c>
    </row>
    <row r="25" spans="1:8">
      <c r="D25" s="111" t="s">
        <v>5069</v>
      </c>
      <c r="H25" s="111">
        <v>30</v>
      </c>
    </row>
    <row r="26" spans="1:8">
      <c r="A26" s="159"/>
    </row>
    <row r="27" spans="1:8">
      <c r="A27" s="252"/>
      <c r="B27" s="120"/>
      <c r="C27" s="120"/>
      <c r="D27" s="111" t="s">
        <v>5064</v>
      </c>
      <c r="E27" s="2"/>
    </row>
    <row r="28" spans="1:8">
      <c r="A28" s="159"/>
      <c r="B28" s="120"/>
      <c r="C28" s="120"/>
    </row>
    <row r="29" spans="1:8">
      <c r="A29" s="252"/>
      <c r="B29" s="120"/>
      <c r="C29" s="120"/>
    </row>
    <row r="30" spans="1:8">
      <c r="A30" s="148"/>
      <c r="B30" s="120"/>
      <c r="C30" s="120"/>
    </row>
    <row r="31" spans="1:8">
      <c r="A31" s="148"/>
      <c r="B31" s="120"/>
      <c r="C31" s="120"/>
    </row>
    <row r="32" spans="1:8">
      <c r="A32" s="148"/>
      <c r="B32" s="120"/>
      <c r="C32" s="120"/>
    </row>
    <row r="34" spans="1:8">
      <c r="H34" s="2"/>
    </row>
    <row r="35" spans="1:8" ht="13.5" thickBot="1">
      <c r="H35" s="117">
        <f>SUM(H19:H32)</f>
        <v>77521.629000000001</v>
      </c>
    </row>
    <row r="36" spans="1:8" ht="13.5" thickTop="1"/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Seventy-Seven Thousand Five Hundred Twenty-One and 63/100 -----------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26" t="s">
        <v>10</v>
      </c>
      <c r="F39" s="265" t="s">
        <v>2894</v>
      </c>
      <c r="G39" s="266"/>
      <c r="H39" s="267"/>
    </row>
    <row r="42" spans="1:8">
      <c r="A42" s="111" t="s">
        <v>52</v>
      </c>
      <c r="D42" s="121"/>
      <c r="E42" s="121"/>
    </row>
    <row r="43" spans="1:8">
      <c r="A43" s="122"/>
      <c r="B43" s="122"/>
    </row>
    <row r="45" spans="1:8">
      <c r="A45" s="123" t="s">
        <v>8</v>
      </c>
      <c r="D45" s="123" t="s">
        <v>8</v>
      </c>
      <c r="F45" s="123" t="s">
        <v>7</v>
      </c>
      <c r="H45" s="124"/>
    </row>
    <row r="49" spans="1:8">
      <c r="A49" s="122" t="s">
        <v>51</v>
      </c>
      <c r="B49" s="122"/>
      <c r="D49" s="122" t="s">
        <v>51</v>
      </c>
      <c r="F49" s="122"/>
      <c r="G49" s="122"/>
      <c r="H49" s="122"/>
    </row>
    <row r="50" spans="1:8" s="126" customFormat="1" ht="17.100000000000001" customHeight="1">
      <c r="A50" s="151" t="s">
        <v>2948</v>
      </c>
      <c r="B50" s="125"/>
      <c r="C50" s="125"/>
      <c r="D50" s="151" t="s">
        <v>103</v>
      </c>
      <c r="F50" s="126" t="s">
        <v>3</v>
      </c>
    </row>
    <row r="51" spans="1:8">
      <c r="F51" s="111" t="s">
        <v>2</v>
      </c>
    </row>
    <row r="53" spans="1:8">
      <c r="F53" s="2" t="s">
        <v>1</v>
      </c>
    </row>
    <row r="54" spans="1:8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 codeName="Sheet287">
    <pageSetUpPr fitToPage="1"/>
  </sheetPr>
  <dimension ref="A1:F53"/>
  <sheetViews>
    <sheetView view="pageBreakPreview" topLeftCell="A4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3" width="9.140625" style="111"/>
    <col min="14" max="14" width="9.7109375" style="111" bestFit="1" customWidth="1"/>
    <col min="15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31" t="s">
        <v>3431</v>
      </c>
    </row>
    <row r="10" spans="1:6">
      <c r="A10" s="111" t="s">
        <v>2755</v>
      </c>
      <c r="D10" s="112" t="s">
        <v>1162</v>
      </c>
      <c r="E10" s="143" t="s">
        <v>3399</v>
      </c>
    </row>
    <row r="11" spans="1:6">
      <c r="A11" s="111" t="s">
        <v>2756</v>
      </c>
      <c r="D11" s="112" t="s">
        <v>1163</v>
      </c>
      <c r="E11" s="132" t="s">
        <v>1094</v>
      </c>
    </row>
    <row r="12" spans="1:6">
      <c r="A12" s="111" t="s">
        <v>2757</v>
      </c>
      <c r="D12" s="112" t="s">
        <v>1135</v>
      </c>
      <c r="E12" s="132" t="s">
        <v>3432</v>
      </c>
    </row>
    <row r="13" spans="1:6">
      <c r="A13" s="111" t="s">
        <v>2758</v>
      </c>
    </row>
    <row r="14" spans="1:6">
      <c r="A14" s="111" t="s">
        <v>1588</v>
      </c>
    </row>
    <row r="15" spans="1:6">
      <c r="A15" s="111" t="s">
        <v>2759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1812</v>
      </c>
    </row>
    <row r="19" spans="1:6">
      <c r="A19" s="161"/>
      <c r="B19" s="116"/>
      <c r="C19" s="2"/>
    </row>
    <row r="20" spans="1:6">
      <c r="A20" s="116" t="s">
        <v>3433</v>
      </c>
      <c r="B20" s="121" t="s">
        <v>3434</v>
      </c>
      <c r="C20" s="111" t="s">
        <v>3435</v>
      </c>
      <c r="F20" s="111">
        <v>325019.52000000002</v>
      </c>
    </row>
    <row r="21" spans="1:6">
      <c r="A21" s="116"/>
      <c r="B21" s="121"/>
      <c r="C21" s="111" t="s">
        <v>3429</v>
      </c>
      <c r="F21" s="111">
        <v>127481.2</v>
      </c>
    </row>
    <row r="22" spans="1:6">
      <c r="B22" s="121"/>
      <c r="C22" s="111" t="s">
        <v>3436</v>
      </c>
      <c r="F22" s="111">
        <v>31675.05</v>
      </c>
    </row>
    <row r="29" spans="1:6">
      <c r="A29" s="120"/>
    </row>
    <row r="30" spans="1:6">
      <c r="A30" s="116"/>
      <c r="B30" s="121"/>
    </row>
    <row r="31" spans="1:6">
      <c r="B31" s="120"/>
    </row>
    <row r="32" spans="1:6">
      <c r="B32" s="120"/>
    </row>
    <row r="34" spans="1:6" ht="13.5" thickBot="1">
      <c r="F34" s="127">
        <f>SUM(F19:F33)</f>
        <v>484175.77</v>
      </c>
    </row>
    <row r="35" spans="1:6" ht="13.5" thickTop="1"/>
    <row r="36" spans="1:6" ht="20.100000000000001" customHeight="1">
      <c r="A36" s="118" t="s">
        <v>1133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>Four Hundred Eighty-Four Thousand One Hundred Seventy-Five and 77/100 -----------</v>
      </c>
      <c r="C36" s="119"/>
      <c r="D36" s="119"/>
      <c r="E36" s="119"/>
      <c r="F36" s="261"/>
    </row>
    <row r="37" spans="1:6">
      <c r="A37" s="120"/>
    </row>
    <row r="38" spans="1:6">
      <c r="A38" s="123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23"/>
    </row>
    <row r="41" spans="1:6">
      <c r="A41" s="123"/>
      <c r="C41" s="121"/>
    </row>
    <row r="42" spans="1:6">
      <c r="A42" s="150"/>
      <c r="B42" s="122"/>
    </row>
    <row r="44" spans="1:6">
      <c r="A44" s="123" t="s">
        <v>8</v>
      </c>
      <c r="D44" s="123" t="s">
        <v>7</v>
      </c>
      <c r="F44" s="124"/>
    </row>
    <row r="45" spans="1:6">
      <c r="A45" s="123"/>
    </row>
    <row r="46" spans="1:6">
      <c r="A46" s="123"/>
    </row>
    <row r="47" spans="1:6">
      <c r="A47" s="123"/>
    </row>
    <row r="48" spans="1:6">
      <c r="A48" s="150"/>
      <c r="B48" s="122"/>
      <c r="D48" s="122"/>
      <c r="E48" s="122"/>
      <c r="F48" s="122"/>
    </row>
    <row r="49" spans="1:4" s="126" customFormat="1" ht="17.100000000000001" customHeight="1">
      <c r="A49" s="151" t="s">
        <v>2948</v>
      </c>
      <c r="B49" s="125"/>
      <c r="D49" s="126" t="s">
        <v>3</v>
      </c>
    </row>
    <row r="50" spans="1:4">
      <c r="A50" s="151"/>
      <c r="D50" s="111" t="s">
        <v>2</v>
      </c>
    </row>
    <row r="51" spans="1:4">
      <c r="A51" s="123"/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CE5D-520E-4D41-AB07-DC9B28850432}">
  <sheetPr codeName="Sheet575">
    <pageSetUpPr fitToPage="1"/>
  </sheetPr>
  <dimension ref="A1:R55"/>
  <sheetViews>
    <sheetView zoomScaleNormal="100" workbookViewId="0">
      <selection activeCell="G9" sqref="G9:G13"/>
    </sheetView>
  </sheetViews>
  <sheetFormatPr defaultRowHeight="12.75"/>
  <cols>
    <col min="1" max="1" width="15.85546875" style="111" customWidth="1"/>
    <col min="2" max="2" width="12.140625" style="111" customWidth="1"/>
    <col min="3" max="3" width="0.5703125" style="111" customWidth="1"/>
    <col min="4" max="4" width="23" style="111" customWidth="1"/>
    <col min="5" max="5" width="1" style="111" customWidth="1"/>
    <col min="6" max="6" width="13.5703125" style="111" customWidth="1"/>
    <col min="7" max="7" width="9.5703125" style="111" customWidth="1"/>
    <col min="8" max="8" width="13" style="111" customWidth="1"/>
    <col min="9" max="16" width="9.140625" style="111"/>
    <col min="17" max="17" width="12" style="111" bestFit="1" customWidth="1"/>
    <col min="18" max="16384" width="9.140625" style="111"/>
  </cols>
  <sheetData>
    <row r="1" spans="1:1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8">
      <c r="A4" s="530" t="s">
        <v>1481</v>
      </c>
      <c r="B4" s="530"/>
      <c r="C4" s="530"/>
      <c r="D4" s="530"/>
      <c r="E4" s="530"/>
      <c r="F4" s="530"/>
      <c r="G4" s="530"/>
      <c r="H4" s="530"/>
    </row>
    <row r="5" spans="1:18">
      <c r="M5" s="2" t="s">
        <v>6033</v>
      </c>
      <c r="N5" s="2"/>
    </row>
    <row r="7" spans="1:18">
      <c r="M7" s="111" t="s">
        <v>6034</v>
      </c>
      <c r="Q7" s="111">
        <f>156792*80%</f>
        <v>125433.60000000001</v>
      </c>
    </row>
    <row r="8" spans="1:18">
      <c r="A8" s="111" t="s">
        <v>24</v>
      </c>
      <c r="F8" s="22" t="s">
        <v>23</v>
      </c>
      <c r="M8" s="111" t="s">
        <v>6035</v>
      </c>
    </row>
    <row r="9" spans="1:18">
      <c r="F9" s="112" t="s">
        <v>1090</v>
      </c>
      <c r="G9" s="489" t="s">
        <v>6999</v>
      </c>
      <c r="M9" s="111" t="s">
        <v>6036</v>
      </c>
      <c r="N9" s="2"/>
    </row>
    <row r="10" spans="1:18">
      <c r="A10" s="111" t="s">
        <v>6028</v>
      </c>
      <c r="F10" s="112" t="s">
        <v>1340</v>
      </c>
      <c r="G10" s="132" t="s">
        <v>6981</v>
      </c>
      <c r="M10" s="111" t="s">
        <v>6037</v>
      </c>
    </row>
    <row r="11" spans="1:18">
      <c r="A11" s="111" t="s">
        <v>6029</v>
      </c>
      <c r="F11" s="112" t="s">
        <v>1341</v>
      </c>
      <c r="G11" s="132" t="s">
        <v>1094</v>
      </c>
      <c r="M11" s="111" t="s">
        <v>6039</v>
      </c>
    </row>
    <row r="12" spans="1:18">
      <c r="A12" s="111" t="s">
        <v>6030</v>
      </c>
      <c r="F12" s="112" t="s">
        <v>1135</v>
      </c>
      <c r="G12" s="486" t="s">
        <v>7000</v>
      </c>
      <c r="M12" s="111" t="s">
        <v>6038</v>
      </c>
    </row>
    <row r="13" spans="1:18">
      <c r="A13" s="111" t="s">
        <v>6031</v>
      </c>
    </row>
    <row r="14" spans="1:18">
      <c r="A14" s="111" t="s">
        <v>6032</v>
      </c>
      <c r="M14" s="111" t="s">
        <v>6040</v>
      </c>
    </row>
    <row r="16" spans="1:18" s="15" customFormat="1" ht="20.100000000000001" customHeight="1">
      <c r="A16" s="18" t="s">
        <v>1113</v>
      </c>
      <c r="B16" s="466" t="s">
        <v>1114</v>
      </c>
      <c r="C16" s="466"/>
      <c r="D16" s="533" t="s">
        <v>14</v>
      </c>
      <c r="E16" s="533"/>
      <c r="F16" s="533"/>
      <c r="G16" s="17"/>
      <c r="H16" s="16" t="s">
        <v>13</v>
      </c>
      <c r="M16" s="111"/>
      <c r="N16" s="111"/>
      <c r="O16" s="111"/>
      <c r="P16" s="111"/>
      <c r="Q16" s="111"/>
      <c r="R16" s="111"/>
    </row>
    <row r="18" spans="1:8">
      <c r="D18" s="2" t="s">
        <v>7003</v>
      </c>
      <c r="E18" s="2"/>
    </row>
    <row r="19" spans="1:8">
      <c r="D19" s="2"/>
      <c r="E19" s="2"/>
    </row>
    <row r="20" spans="1:8">
      <c r="A20" s="485" t="s">
        <v>6698</v>
      </c>
      <c r="B20" s="485" t="s">
        <v>7001</v>
      </c>
      <c r="C20" s="116"/>
      <c r="D20" s="111" t="s">
        <v>6379</v>
      </c>
      <c r="H20" s="111">
        <f>101450*20/100</f>
        <v>20290</v>
      </c>
    </row>
    <row r="21" spans="1:8">
      <c r="A21" s="116"/>
      <c r="B21" s="116"/>
      <c r="C21" s="120"/>
      <c r="D21" s="111" t="s">
        <v>6250</v>
      </c>
      <c r="E21" s="1"/>
      <c r="F21" s="1"/>
      <c r="G21" s="1"/>
    </row>
    <row r="22" spans="1:8">
      <c r="A22" s="116"/>
      <c r="B22" s="116"/>
      <c r="C22" s="116"/>
      <c r="D22" s="111" t="s">
        <v>6251</v>
      </c>
      <c r="E22" s="1"/>
      <c r="F22" s="1"/>
      <c r="G22" s="1"/>
    </row>
    <row r="23" spans="1:8">
      <c r="A23" s="1"/>
      <c r="B23" s="1"/>
      <c r="C23" s="1"/>
      <c r="D23" s="111" t="s">
        <v>6252</v>
      </c>
      <c r="E23" s="1"/>
      <c r="F23" s="1"/>
      <c r="G23" s="1"/>
    </row>
    <row r="24" spans="1:8">
      <c r="A24" s="116"/>
      <c r="B24" s="116"/>
      <c r="C24" s="120"/>
      <c r="D24" s="111" t="s">
        <v>6253</v>
      </c>
      <c r="E24" s="1"/>
      <c r="F24" s="1"/>
      <c r="G24" s="1"/>
      <c r="H24" s="149"/>
    </row>
    <row r="25" spans="1:8">
      <c r="A25" s="116"/>
      <c r="B25" s="116"/>
      <c r="C25" s="116"/>
    </row>
    <row r="26" spans="1:8">
      <c r="A26" s="116"/>
      <c r="B26" s="116"/>
      <c r="D26" s="111" t="s">
        <v>7002</v>
      </c>
    </row>
    <row r="27" spans="1:8">
      <c r="A27" s="116"/>
      <c r="B27" s="116"/>
      <c r="C27" s="120"/>
      <c r="F27" s="1"/>
      <c r="G27" s="1"/>
    </row>
    <row r="28" spans="1:8">
      <c r="E28" s="1"/>
      <c r="F28" s="1"/>
      <c r="G28" s="1"/>
      <c r="H28" s="1"/>
    </row>
    <row r="35" spans="1:8" ht="13.5" thickBot="1">
      <c r="H35" s="117">
        <f>SUM(H18:H34)</f>
        <v>20290</v>
      </c>
    </row>
    <row r="36" spans="1:8" ht="13.5" thickTop="1"/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Twenty Thousand Two Hundred Ninety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11" t="s">
        <v>10</v>
      </c>
      <c r="D39" s="441"/>
      <c r="F39" s="265" t="s">
        <v>2894</v>
      </c>
      <c r="G39" s="266" t="s">
        <v>3298</v>
      </c>
      <c r="H39" s="267"/>
    </row>
    <row r="40" spans="1:8">
      <c r="D40" s="433"/>
    </row>
    <row r="41" spans="1:8">
      <c r="A41" s="126"/>
      <c r="D41" s="433"/>
    </row>
    <row r="42" spans="1:8">
      <c r="D42" s="433"/>
      <c r="E42" s="121"/>
    </row>
    <row r="43" spans="1:8">
      <c r="A43" s="122"/>
      <c r="B43" s="122"/>
      <c r="D43" s="433"/>
    </row>
    <row r="44" spans="1:8">
      <c r="D44" s="433"/>
    </row>
    <row r="46" spans="1:8">
      <c r="A46" s="123" t="s">
        <v>8</v>
      </c>
      <c r="D46" s="123" t="s">
        <v>8</v>
      </c>
      <c r="F46" s="123" t="s">
        <v>7</v>
      </c>
      <c r="H46" s="124"/>
    </row>
    <row r="50" spans="1:8">
      <c r="A50" s="122"/>
      <c r="B50" s="122"/>
      <c r="D50" s="122"/>
      <c r="F50" s="122"/>
      <c r="G50" s="122"/>
      <c r="H50" s="122"/>
    </row>
    <row r="51" spans="1:8" s="126" customFormat="1" ht="17.100000000000001" customHeight="1">
      <c r="A51" s="111" t="s">
        <v>2948</v>
      </c>
      <c r="B51" s="125"/>
      <c r="C51" s="125"/>
      <c r="D51" s="111" t="s">
        <v>103</v>
      </c>
      <c r="F51" s="126" t="s">
        <v>3</v>
      </c>
    </row>
    <row r="52" spans="1:8">
      <c r="F52" s="111" t="s">
        <v>2</v>
      </c>
    </row>
    <row r="53" spans="1:8">
      <c r="A53" s="151"/>
    </row>
    <row r="54" spans="1:8">
      <c r="F54" s="2" t="s">
        <v>1</v>
      </c>
    </row>
    <row r="55" spans="1:8">
      <c r="F55" s="2" t="s">
        <v>0</v>
      </c>
    </row>
  </sheetData>
  <mergeCells count="5">
    <mergeCell ref="A1:H1"/>
    <mergeCell ref="A2:H2"/>
    <mergeCell ref="A3:H3"/>
    <mergeCell ref="A4:H4"/>
    <mergeCell ref="D16:F16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Sheet288">
    <pageSetUpPr fitToPage="1"/>
  </sheetPr>
  <dimension ref="A1:H53"/>
  <sheetViews>
    <sheetView view="pageBreakPreview" topLeftCell="A13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1" style="111" customWidth="1"/>
    <col min="4" max="4" width="23" style="111" customWidth="1"/>
    <col min="5" max="5" width="0.7109375" style="111" customWidth="1"/>
    <col min="6" max="6" width="13.42578125" style="111" customWidth="1"/>
    <col min="7" max="7" width="9.5703125" style="111" customWidth="1"/>
    <col min="8" max="8" width="15.28515625" style="111" customWidth="1"/>
    <col min="9" max="15" width="9.140625" style="111"/>
    <col min="16" max="16" width="9.7109375" style="111" bestFit="1" customWidth="1"/>
    <col min="17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11" t="s">
        <v>4033</v>
      </c>
    </row>
    <row r="10" spans="1:8">
      <c r="A10" s="111" t="s">
        <v>2760</v>
      </c>
      <c r="F10" s="112" t="s">
        <v>1162</v>
      </c>
      <c r="G10" s="112" t="s">
        <v>4032</v>
      </c>
    </row>
    <row r="11" spans="1:8">
      <c r="A11" s="111" t="s">
        <v>2761</v>
      </c>
      <c r="F11" s="112" t="s">
        <v>1163</v>
      </c>
      <c r="G11" s="112" t="s">
        <v>1094</v>
      </c>
    </row>
    <row r="12" spans="1:8">
      <c r="A12" s="111" t="s">
        <v>2762</v>
      </c>
      <c r="F12" s="112" t="s">
        <v>1135</v>
      </c>
      <c r="G12" s="120"/>
    </row>
    <row r="13" spans="1:8">
      <c r="A13" s="111" t="s">
        <v>2763</v>
      </c>
    </row>
    <row r="14" spans="1:8">
      <c r="A14" s="111" t="s">
        <v>2764</v>
      </c>
    </row>
    <row r="16" spans="1:8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A18" s="116" t="s">
        <v>4034</v>
      </c>
      <c r="B18" s="116" t="s">
        <v>4035</v>
      </c>
      <c r="C18" s="116"/>
      <c r="D18" s="111" t="s">
        <v>4036</v>
      </c>
      <c r="H18" s="111">
        <v>20000</v>
      </c>
    </row>
    <row r="19" spans="1:8">
      <c r="A19" s="116"/>
      <c r="B19" s="121"/>
      <c r="C19" s="121"/>
      <c r="D19" s="167"/>
      <c r="E19" s="167"/>
    </row>
    <row r="22" spans="1:8">
      <c r="B22" s="121"/>
      <c r="C22" s="121"/>
    </row>
    <row r="29" spans="1:8">
      <c r="A29" s="120"/>
    </row>
    <row r="30" spans="1:8">
      <c r="A30" s="116"/>
      <c r="B30" s="121"/>
      <c r="C30" s="121"/>
    </row>
    <row r="31" spans="1:8">
      <c r="B31" s="120"/>
      <c r="C31" s="120"/>
    </row>
    <row r="32" spans="1:8">
      <c r="B32" s="120"/>
      <c r="C32" s="120"/>
    </row>
    <row r="34" spans="1:8" ht="13.5" thickBot="1">
      <c r="H34" s="127">
        <f>SUM(H18:H33)</f>
        <v>20000</v>
      </c>
    </row>
    <row r="35" spans="1:8" ht="13.5" thickTop="1"/>
    <row r="36" spans="1:8" ht="20.100000000000001" customHeight="1">
      <c r="A36" s="118" t="s">
        <v>1133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Twenty Thousand and NO/100 -----------</v>
      </c>
      <c r="C36" s="202"/>
      <c r="D36" s="119"/>
      <c r="E36" s="119"/>
      <c r="F36" s="119"/>
      <c r="G36" s="119"/>
      <c r="H36" s="261"/>
    </row>
    <row r="37" spans="1:8">
      <c r="A37" s="120"/>
    </row>
    <row r="38" spans="1:8">
      <c r="A38" s="123" t="s">
        <v>10</v>
      </c>
    </row>
    <row r="39" spans="1:8" ht="25.5">
      <c r="A39" s="126"/>
      <c r="F39" s="265" t="s">
        <v>2894</v>
      </c>
      <c r="G39" s="266"/>
      <c r="H39" s="267"/>
    </row>
    <row r="40" spans="1:8">
      <c r="A40" s="123"/>
    </row>
    <row r="41" spans="1:8">
      <c r="A41" s="123"/>
      <c r="D41" s="121"/>
      <c r="E41" s="121"/>
    </row>
    <row r="42" spans="1:8">
      <c r="A42" s="150"/>
      <c r="B42" s="122"/>
    </row>
    <row r="44" spans="1:8">
      <c r="A44" s="123" t="s">
        <v>8</v>
      </c>
      <c r="D44" s="123" t="s">
        <v>8</v>
      </c>
      <c r="F44" s="123" t="s">
        <v>7</v>
      </c>
      <c r="H44" s="124"/>
    </row>
    <row r="45" spans="1:8">
      <c r="A45" s="123"/>
      <c r="D45" s="123"/>
    </row>
    <row r="46" spans="1:8">
      <c r="A46" s="123"/>
      <c r="D46" s="123"/>
    </row>
    <row r="47" spans="1:8">
      <c r="A47" s="123"/>
      <c r="D47" s="123"/>
    </row>
    <row r="48" spans="1:8">
      <c r="A48" s="150"/>
      <c r="B48" s="122"/>
      <c r="D48" s="150"/>
      <c r="F48" s="122"/>
      <c r="G48" s="122"/>
      <c r="H48" s="122"/>
    </row>
    <row r="49" spans="1:6" s="126" customFormat="1" ht="17.100000000000001" customHeight="1">
      <c r="A49" s="151" t="s">
        <v>2948</v>
      </c>
      <c r="B49" s="125"/>
      <c r="C49" s="125"/>
      <c r="D49" s="151" t="s">
        <v>103</v>
      </c>
      <c r="F49" s="126" t="s">
        <v>3</v>
      </c>
    </row>
    <row r="50" spans="1:6">
      <c r="A50" s="151"/>
      <c r="D50" s="151"/>
      <c r="F50" s="111" t="s">
        <v>2</v>
      </c>
    </row>
    <row r="51" spans="1:6">
      <c r="A51" s="123"/>
    </row>
    <row r="52" spans="1:6">
      <c r="F52" s="2" t="s">
        <v>1</v>
      </c>
    </row>
    <row r="53" spans="1:6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 codeName="Sheet340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42578125" style="111" customWidth="1"/>
    <col min="2" max="2" width="15.8554687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2974</v>
      </c>
    </row>
    <row r="10" spans="1:6">
      <c r="A10" s="111" t="s">
        <v>2975</v>
      </c>
      <c r="D10" s="112" t="s">
        <v>1180</v>
      </c>
      <c r="E10" s="123" t="s">
        <v>2896</v>
      </c>
    </row>
    <row r="11" spans="1:6">
      <c r="A11" s="111" t="s">
        <v>2976</v>
      </c>
      <c r="D11" s="112" t="s">
        <v>1181</v>
      </c>
      <c r="E11" s="112" t="s">
        <v>1094</v>
      </c>
    </row>
    <row r="12" spans="1:6">
      <c r="A12" s="111" t="s">
        <v>2977</v>
      </c>
      <c r="D12" s="112" t="s">
        <v>1182</v>
      </c>
      <c r="E12" s="112" t="s">
        <v>2973</v>
      </c>
    </row>
    <row r="13" spans="1:6">
      <c r="A13" s="111" t="s">
        <v>2978</v>
      </c>
    </row>
    <row r="14" spans="1:6">
      <c r="A14" s="111" t="s">
        <v>2979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16"/>
      <c r="B18" s="121"/>
      <c r="C18" s="2" t="s">
        <v>2980</v>
      </c>
    </row>
    <row r="20" spans="1:6">
      <c r="A20" s="116" t="s">
        <v>2972</v>
      </c>
      <c r="B20" s="116" t="s">
        <v>2981</v>
      </c>
      <c r="C20" s="111" t="s">
        <v>2982</v>
      </c>
      <c r="F20" s="111">
        <v>1200</v>
      </c>
    </row>
    <row r="23" spans="1:6">
      <c r="A23" s="148"/>
      <c r="C23" s="120"/>
    </row>
    <row r="24" spans="1:6">
      <c r="A24" s="116"/>
      <c r="B24" s="251"/>
    </row>
    <row r="27" spans="1:6">
      <c r="A27" s="120"/>
    </row>
    <row r="28" spans="1:6">
      <c r="C28" s="2"/>
      <c r="F28" s="149"/>
    </row>
    <row r="29" spans="1:6">
      <c r="A29" s="148"/>
      <c r="B29" s="121"/>
      <c r="C29" s="120"/>
    </row>
    <row r="33" spans="1:6" ht="13.5" thickBot="1">
      <c r="F33" s="127">
        <f>SUM(F20:F32)</f>
        <v>1200</v>
      </c>
    </row>
    <row r="34" spans="1:6" ht="13.5" thickTop="1"/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Two Hundred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Sheet341">
    <pageSetUpPr fitToPage="1"/>
  </sheetPr>
  <dimension ref="A1:I52"/>
  <sheetViews>
    <sheetView workbookViewId="0">
      <selection activeCell="G9" sqref="G9:G13"/>
    </sheetView>
  </sheetViews>
  <sheetFormatPr defaultRowHeight="12.75"/>
  <cols>
    <col min="1" max="1" width="15.7109375" style="111" customWidth="1"/>
    <col min="2" max="2" width="13.85546875" style="111" customWidth="1"/>
    <col min="3" max="3" width="23" style="111" customWidth="1"/>
    <col min="4" max="4" width="12.7109375" style="111" customWidth="1"/>
    <col min="5" max="5" width="10.85546875" style="111" customWidth="1"/>
    <col min="6" max="6" width="12.855468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4878</v>
      </c>
    </row>
    <row r="10" spans="1:6">
      <c r="A10" s="111" t="s">
        <v>1367</v>
      </c>
      <c r="D10" s="112" t="s">
        <v>1162</v>
      </c>
      <c r="E10" s="111" t="s">
        <v>4877</v>
      </c>
    </row>
    <row r="11" spans="1:6">
      <c r="A11" s="111" t="s">
        <v>1368</v>
      </c>
      <c r="D11" s="112" t="s">
        <v>1163</v>
      </c>
      <c r="E11" s="111" t="s">
        <v>1094</v>
      </c>
    </row>
    <row r="12" spans="1:6">
      <c r="A12" s="111" t="s">
        <v>1369</v>
      </c>
      <c r="D12" s="112" t="s">
        <v>1169</v>
      </c>
      <c r="E12" s="111" t="s">
        <v>4879</v>
      </c>
    </row>
    <row r="13" spans="1:6">
      <c r="A13" s="111" t="s">
        <v>1535</v>
      </c>
    </row>
    <row r="14" spans="1:6">
      <c r="A14" s="111" t="s">
        <v>3117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9">
      <c r="A17" s="153"/>
    </row>
    <row r="18" spans="1:9">
      <c r="C18" s="2" t="s">
        <v>4830</v>
      </c>
    </row>
    <row r="20" spans="1:9">
      <c r="A20" s="116" t="s">
        <v>4744</v>
      </c>
      <c r="B20" s="116" t="s">
        <v>4880</v>
      </c>
      <c r="C20" s="111" t="s">
        <v>4881</v>
      </c>
      <c r="F20" s="111">
        <f>18.8679*41</f>
        <v>773.58389999999997</v>
      </c>
      <c r="I20" s="317"/>
    </row>
    <row r="21" spans="1:9">
      <c r="A21" s="116"/>
      <c r="B21" s="121"/>
      <c r="C21" s="111" t="s">
        <v>1814</v>
      </c>
      <c r="F21" s="111">
        <f>F20*6%</f>
        <v>46.415033999999999</v>
      </c>
    </row>
    <row r="22" spans="1:9">
      <c r="A22" s="116"/>
      <c r="B22" s="121"/>
      <c r="C22" s="2"/>
    </row>
    <row r="23" spans="1:9">
      <c r="C23" s="2"/>
    </row>
    <row r="25" spans="1:9">
      <c r="A25" s="116"/>
      <c r="B25" s="116"/>
    </row>
    <row r="26" spans="1:9">
      <c r="A26" s="116"/>
      <c r="B26" s="121"/>
    </row>
    <row r="27" spans="1:9">
      <c r="A27" s="116"/>
      <c r="B27" s="116"/>
    </row>
    <row r="28" spans="1:9">
      <c r="A28" s="153"/>
    </row>
    <row r="29" spans="1:9">
      <c r="A29" s="153"/>
    </row>
    <row r="30" spans="1:9">
      <c r="A30" s="153"/>
    </row>
    <row r="31" spans="1:9">
      <c r="A31" s="153"/>
    </row>
    <row r="32" spans="1:9">
      <c r="A32" s="153"/>
    </row>
    <row r="33" spans="1:6" ht="13.5" thickBot="1">
      <c r="A33" s="153"/>
      <c r="F33" s="117">
        <f>SUM(F18:F32)</f>
        <v>819.99893399999996</v>
      </c>
    </row>
    <row r="34" spans="1:6" ht="13.5" thickTop="1">
      <c r="A34" s="153"/>
    </row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Eight Hundred Nineteen and 100/100 -----------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 codeName="Sheet342">
    <pageSetUpPr fitToPage="1"/>
  </sheetPr>
  <dimension ref="A1:F53"/>
  <sheetViews>
    <sheetView view="pageBreakPreview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3" width="9.140625" style="111"/>
    <col min="14" max="14" width="9.7109375" style="111" bestFit="1" customWidth="1"/>
    <col min="15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31" t="s">
        <v>3200</v>
      </c>
    </row>
    <row r="10" spans="1:6">
      <c r="A10" s="111" t="s">
        <v>3202</v>
      </c>
      <c r="D10" s="112" t="s">
        <v>1162</v>
      </c>
      <c r="E10" s="143" t="s">
        <v>3188</v>
      </c>
    </row>
    <row r="11" spans="1:6">
      <c r="A11" s="111" t="s">
        <v>3203</v>
      </c>
      <c r="D11" s="112" t="s">
        <v>1163</v>
      </c>
      <c r="E11" s="132" t="s">
        <v>1094</v>
      </c>
    </row>
    <row r="12" spans="1:6">
      <c r="A12" s="111" t="s">
        <v>1365</v>
      </c>
      <c r="D12" s="112" t="s">
        <v>1135</v>
      </c>
      <c r="E12" s="132" t="s">
        <v>3201</v>
      </c>
    </row>
    <row r="13" spans="1:6">
      <c r="A13" s="111" t="s">
        <v>3204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3176</v>
      </c>
    </row>
    <row r="19" spans="1:6">
      <c r="A19" s="161"/>
      <c r="B19" s="116"/>
      <c r="C19" s="2"/>
    </row>
    <row r="20" spans="1:6">
      <c r="A20" s="116" t="s">
        <v>3205</v>
      </c>
      <c r="B20" s="116" t="s">
        <v>3206</v>
      </c>
      <c r="C20" s="111" t="s">
        <v>3207</v>
      </c>
      <c r="F20" s="111">
        <v>650</v>
      </c>
    </row>
    <row r="21" spans="1:6">
      <c r="A21" s="116"/>
      <c r="B21" s="121"/>
    </row>
    <row r="22" spans="1:6">
      <c r="A22" s="116" t="s">
        <v>3208</v>
      </c>
      <c r="B22" s="121" t="s">
        <v>3209</v>
      </c>
      <c r="C22" s="111" t="s">
        <v>3210</v>
      </c>
      <c r="F22" s="111">
        <v>700.8</v>
      </c>
    </row>
    <row r="29" spans="1:6">
      <c r="A29" s="120"/>
    </row>
    <row r="30" spans="1:6">
      <c r="A30" s="116"/>
      <c r="B30" s="121"/>
    </row>
    <row r="31" spans="1:6">
      <c r="B31" s="120"/>
    </row>
    <row r="32" spans="1:6">
      <c r="B32" s="120"/>
    </row>
    <row r="34" spans="1:6" ht="13.5" thickBot="1">
      <c r="F34" s="127">
        <f>SUM(F19:F33)</f>
        <v>1350.8</v>
      </c>
    </row>
    <row r="35" spans="1:6" ht="13.5" thickTop="1"/>
    <row r="36" spans="1:6" ht="20.100000000000001" customHeight="1">
      <c r="A36" s="118" t="s">
        <v>1133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Three Hundred Fifty and 80/100 -----------</v>
      </c>
      <c r="C36" s="119"/>
      <c r="D36" s="119"/>
      <c r="E36" s="119"/>
      <c r="F36" s="261"/>
    </row>
    <row r="37" spans="1:6">
      <c r="A37" s="120"/>
    </row>
    <row r="38" spans="1:6">
      <c r="A38" s="123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23"/>
    </row>
    <row r="41" spans="1:6">
      <c r="A41" s="123"/>
      <c r="C41" s="121"/>
    </row>
    <row r="42" spans="1:6">
      <c r="A42" s="150"/>
      <c r="B42" s="122"/>
    </row>
    <row r="44" spans="1:6">
      <c r="A44" s="123" t="s">
        <v>8</v>
      </c>
      <c r="D44" s="123" t="s">
        <v>7</v>
      </c>
      <c r="F44" s="124"/>
    </row>
    <row r="45" spans="1:6">
      <c r="A45" s="123"/>
    </row>
    <row r="46" spans="1:6">
      <c r="A46" s="123"/>
    </row>
    <row r="47" spans="1:6">
      <c r="A47" s="123"/>
    </row>
    <row r="48" spans="1:6">
      <c r="A48" s="150"/>
      <c r="B48" s="122"/>
      <c r="D48" s="122"/>
      <c r="E48" s="122"/>
      <c r="F48" s="122"/>
    </row>
    <row r="49" spans="1:4" s="126" customFormat="1" ht="17.100000000000001" customHeight="1">
      <c r="A49" s="151" t="s">
        <v>2948</v>
      </c>
      <c r="B49" s="125"/>
      <c r="D49" s="126" t="s">
        <v>3</v>
      </c>
    </row>
    <row r="50" spans="1:4">
      <c r="A50" s="151"/>
      <c r="D50" s="111" t="s">
        <v>2</v>
      </c>
    </row>
    <row r="51" spans="1:4">
      <c r="A51" s="123"/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Sheet343">
    <pageSetUpPr fitToPage="1"/>
  </sheetPr>
  <dimension ref="A1:F55"/>
  <sheetViews>
    <sheetView zoomScaleSheetLayoutView="100" workbookViewId="0">
      <selection activeCell="G9" sqref="G9:G13"/>
    </sheetView>
  </sheetViews>
  <sheetFormatPr defaultRowHeight="12.75"/>
  <cols>
    <col min="1" max="1" width="15.42578125" style="1" customWidth="1"/>
    <col min="2" max="2" width="13.28515625" style="1" customWidth="1"/>
    <col min="3" max="3" width="23" style="1" customWidth="1"/>
    <col min="4" max="4" width="14.7109375" style="1" customWidth="1"/>
    <col min="5" max="5" width="11.42578125" style="1" customWidth="1"/>
    <col min="6" max="6" width="14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5" spans="1:6">
      <c r="A5" s="57"/>
      <c r="B5" s="57"/>
      <c r="C5" s="57"/>
      <c r="D5" s="57"/>
      <c r="E5" s="57"/>
      <c r="F5" s="57"/>
    </row>
    <row r="6" spans="1:6">
      <c r="A6" s="57"/>
      <c r="B6" s="57"/>
      <c r="C6" s="57"/>
      <c r="D6" s="57"/>
      <c r="E6" s="57"/>
      <c r="F6" s="57"/>
    </row>
    <row r="7" spans="1:6">
      <c r="A7" s="111" t="s">
        <v>24</v>
      </c>
      <c r="B7" s="57"/>
      <c r="C7" s="57"/>
      <c r="D7" s="57"/>
      <c r="E7" s="57"/>
      <c r="F7" s="57"/>
    </row>
    <row r="8" spans="1:6" s="111" customFormat="1" ht="12.75" customHeight="1">
      <c r="B8" s="113"/>
      <c r="C8" s="113"/>
      <c r="D8" s="22" t="s">
        <v>23</v>
      </c>
      <c r="F8" s="113"/>
    </row>
    <row r="9" spans="1:6" s="111" customFormat="1">
      <c r="A9" s="111" t="s">
        <v>3225</v>
      </c>
      <c r="D9" s="112" t="s">
        <v>1119</v>
      </c>
      <c r="E9" s="111" t="s">
        <v>3223</v>
      </c>
    </row>
    <row r="10" spans="1:6" s="111" customFormat="1">
      <c r="A10" s="111" t="s">
        <v>3226</v>
      </c>
      <c r="D10" s="112" t="s">
        <v>3222</v>
      </c>
      <c r="E10" s="112" t="s">
        <v>3221</v>
      </c>
    </row>
    <row r="11" spans="1:6" s="111" customFormat="1">
      <c r="A11" s="111" t="s">
        <v>3227</v>
      </c>
      <c r="D11" s="112" t="s">
        <v>1093</v>
      </c>
      <c r="E11" s="112" t="s">
        <v>1094</v>
      </c>
    </row>
    <row r="12" spans="1:6" s="111" customFormat="1">
      <c r="A12" s="111" t="s">
        <v>3228</v>
      </c>
      <c r="D12" s="112" t="s">
        <v>1120</v>
      </c>
      <c r="E12" s="112" t="s">
        <v>3224</v>
      </c>
    </row>
    <row r="13" spans="1:6" s="111" customFormat="1">
      <c r="A13" s="111" t="s">
        <v>3229</v>
      </c>
    </row>
    <row r="14" spans="1:6" s="111" customFormat="1"/>
    <row r="15" spans="1:6" s="111" customFormat="1" ht="14.25">
      <c r="A15" s="113"/>
      <c r="B15" s="113"/>
      <c r="C15" s="113"/>
      <c r="D15" s="113"/>
      <c r="E15" s="113"/>
      <c r="F15" s="113"/>
    </row>
    <row r="16" spans="1:6" s="15" customFormat="1" ht="20.100000000000001" customHeight="1">
      <c r="A16" s="18" t="s">
        <v>1113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 s="111" customFormat="1" ht="14.25">
      <c r="A17" s="114"/>
      <c r="B17" s="113"/>
      <c r="C17" s="113"/>
      <c r="D17" s="113"/>
      <c r="E17" s="113"/>
      <c r="F17" s="113"/>
    </row>
    <row r="18" spans="1:6" s="111" customFormat="1">
      <c r="A18" s="115"/>
      <c r="C18" s="2" t="s">
        <v>3230</v>
      </c>
    </row>
    <row r="19" spans="1:6" s="111" customFormat="1">
      <c r="A19" s="115"/>
    </row>
    <row r="20" spans="1:6" s="111" customFormat="1">
      <c r="A20" s="161" t="s">
        <v>3220</v>
      </c>
      <c r="B20" s="121" t="s">
        <v>3231</v>
      </c>
      <c r="C20" s="111" t="s">
        <v>3233</v>
      </c>
      <c r="F20" s="111">
        <v>19500</v>
      </c>
    </row>
    <row r="21" spans="1:6" s="111" customFormat="1">
      <c r="A21" s="161"/>
      <c r="B21" s="116"/>
      <c r="C21" s="111" t="s">
        <v>3232</v>
      </c>
    </row>
    <row r="22" spans="1:6" s="111" customFormat="1">
      <c r="A22" s="115"/>
    </row>
    <row r="23" spans="1:6" s="111" customFormat="1"/>
    <row r="24" spans="1:6" s="111" customFormat="1">
      <c r="A24" s="115"/>
    </row>
    <row r="25" spans="1:6" s="111" customFormat="1">
      <c r="A25" s="115"/>
    </row>
    <row r="26" spans="1:6" s="111" customFormat="1">
      <c r="A26" s="115"/>
    </row>
    <row r="27" spans="1:6" s="111" customFormat="1">
      <c r="A27" s="161"/>
      <c r="B27" s="116"/>
    </row>
    <row r="28" spans="1:6" s="111" customFormat="1">
      <c r="A28" s="115"/>
    </row>
    <row r="29" spans="1:6" s="111" customFormat="1"/>
    <row r="30" spans="1:6" s="111" customFormat="1"/>
    <row r="31" spans="1:6" s="111" customFormat="1"/>
    <row r="32" spans="1:6" s="111" customFormat="1"/>
    <row r="33" spans="1:6" s="111" customFormat="1"/>
    <row r="34" spans="1:6" s="111" customFormat="1">
      <c r="A34" s="115"/>
    </row>
    <row r="35" spans="1:6" s="111" customFormat="1">
      <c r="A35" s="115"/>
    </row>
    <row r="36" spans="1:6" s="111" customFormat="1" ht="13.5" thickBot="1">
      <c r="F36" s="117">
        <f>SUM(F19:F33)</f>
        <v>19500</v>
      </c>
    </row>
    <row r="37" spans="1:6" s="111" customFormat="1" ht="13.5" thickTop="1"/>
    <row r="38" spans="1:6" s="111" customFormat="1" ht="20.100000000000001" customHeight="1">
      <c r="A38" s="118" t="s">
        <v>204</v>
      </c>
      <c r="B38" s="202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Nineteen Thousand Five Hundred and NO/100 -----------</v>
      </c>
      <c r="C38" s="119"/>
      <c r="D38" s="119"/>
      <c r="E38" s="119"/>
      <c r="F38" s="119"/>
    </row>
    <row r="39" spans="1:6" s="111" customFormat="1">
      <c r="A39" s="120" t="s">
        <v>11</v>
      </c>
    </row>
    <row r="40" spans="1:6" s="111" customFormat="1">
      <c r="A40" s="111" t="s">
        <v>10</v>
      </c>
    </row>
    <row r="41" spans="1:6" s="111" customFormat="1"/>
    <row r="42" spans="1:6" s="111" customFormat="1" ht="25.5">
      <c r="A42" s="126"/>
      <c r="D42" s="265" t="s">
        <v>2894</v>
      </c>
      <c r="E42" s="266"/>
      <c r="F42" s="267"/>
    </row>
    <row r="43" spans="1:6">
      <c r="A43" s="111"/>
      <c r="B43" s="111"/>
      <c r="C43" s="121"/>
      <c r="D43" s="111"/>
      <c r="E43" s="111"/>
      <c r="F43" s="111"/>
    </row>
    <row r="44" spans="1:6">
      <c r="A44" s="111"/>
      <c r="B44" s="111"/>
      <c r="C44" s="111"/>
      <c r="D44" s="111"/>
      <c r="E44" s="111"/>
      <c r="F44" s="111"/>
    </row>
    <row r="45" spans="1:6">
      <c r="A45" s="122"/>
      <c r="B45" s="122"/>
      <c r="C45" s="111"/>
      <c r="D45" s="111"/>
      <c r="E45" s="111"/>
      <c r="F45" s="111"/>
    </row>
    <row r="46" spans="1:6">
      <c r="A46" s="123" t="s">
        <v>8</v>
      </c>
      <c r="B46" s="111"/>
      <c r="C46" s="111"/>
      <c r="D46" s="123" t="s">
        <v>7</v>
      </c>
      <c r="E46" s="111"/>
      <c r="F46" s="124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11"/>
      <c r="B49" s="111"/>
      <c r="C49" s="111"/>
      <c r="D49" s="111"/>
      <c r="E49" s="111"/>
      <c r="F49" s="111"/>
    </row>
    <row r="50" spans="1:6">
      <c r="A50" s="122"/>
      <c r="B50" s="122"/>
      <c r="C50" s="111"/>
      <c r="D50" s="122"/>
      <c r="E50" s="122"/>
      <c r="F50" s="111"/>
    </row>
    <row r="51" spans="1:6" s="3" customFormat="1" ht="17.100000000000001" customHeight="1">
      <c r="A51" s="151" t="s">
        <v>2948</v>
      </c>
      <c r="B51" s="125"/>
      <c r="C51" s="126"/>
      <c r="D51" s="126" t="s">
        <v>3</v>
      </c>
      <c r="E51" s="126"/>
      <c r="F51" s="126"/>
    </row>
    <row r="52" spans="1:6">
      <c r="A52" s="111"/>
      <c r="B52" s="111"/>
      <c r="C52" s="111"/>
      <c r="D52" s="111" t="s">
        <v>2</v>
      </c>
      <c r="E52" s="111"/>
      <c r="F52" s="111"/>
    </row>
    <row r="53" spans="1:6">
      <c r="A53" s="275"/>
      <c r="B53" s="13"/>
      <c r="C53" s="13"/>
      <c r="D53" s="13"/>
      <c r="E53" s="13"/>
      <c r="F53" s="13"/>
    </row>
    <row r="54" spans="1:6">
      <c r="A54" s="13"/>
      <c r="B54" s="13"/>
      <c r="C54" s="13"/>
      <c r="D54" s="2" t="s">
        <v>1</v>
      </c>
      <c r="E54" s="13"/>
      <c r="F54" s="13"/>
    </row>
    <row r="55" spans="1:6">
      <c r="A55" s="13"/>
      <c r="B55" s="13"/>
      <c r="C55" s="13"/>
      <c r="D55" s="2" t="s">
        <v>0</v>
      </c>
      <c r="E55" s="13"/>
      <c r="F55" s="13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sheetPr codeName="Sheet344">
    <pageSetUpPr fitToPage="1"/>
  </sheetPr>
  <dimension ref="A1:F53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2.42578125" style="131" customWidth="1"/>
    <col min="5" max="5" width="8.7109375" style="131" customWidth="1"/>
    <col min="6" max="6" width="13.28515625" style="131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1110</v>
      </c>
      <c r="E9" s="126" t="s">
        <v>3477</v>
      </c>
    </row>
    <row r="10" spans="1:6">
      <c r="A10" s="131" t="s">
        <v>3299</v>
      </c>
      <c r="D10" s="132" t="s">
        <v>1685</v>
      </c>
      <c r="E10" s="160" t="s">
        <v>3447</v>
      </c>
    </row>
    <row r="11" spans="1:6">
      <c r="A11" s="131" t="s">
        <v>3300</v>
      </c>
      <c r="D11" s="132" t="s">
        <v>1163</v>
      </c>
      <c r="E11" s="160" t="s">
        <v>1094</v>
      </c>
    </row>
    <row r="12" spans="1:6">
      <c r="A12" s="131" t="s">
        <v>3301</v>
      </c>
      <c r="D12" s="132" t="s">
        <v>1188</v>
      </c>
      <c r="E12" s="160" t="s">
        <v>3478</v>
      </c>
    </row>
    <row r="13" spans="1:6">
      <c r="A13" s="131" t="s">
        <v>3302</v>
      </c>
      <c r="E13" s="111"/>
    </row>
    <row r="14" spans="1:6">
      <c r="A14" s="131" t="s">
        <v>3267</v>
      </c>
    </row>
    <row r="15" spans="1:6">
      <c r="A15" s="131" t="s">
        <v>3303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6">
      <c r="A17" s="177"/>
    </row>
    <row r="18" spans="1:6">
      <c r="C18" s="243" t="s">
        <v>3479</v>
      </c>
    </row>
    <row r="19" spans="1:6">
      <c r="C19" s="110"/>
    </row>
    <row r="20" spans="1:6">
      <c r="A20" s="158" t="s">
        <v>3480</v>
      </c>
      <c r="B20" s="158" t="s">
        <v>3481</v>
      </c>
      <c r="C20" s="131" t="s">
        <v>3482</v>
      </c>
      <c r="F20" s="131">
        <v>2500</v>
      </c>
    </row>
    <row r="21" spans="1:6">
      <c r="A21" s="158"/>
      <c r="C21" s="131" t="s">
        <v>1814</v>
      </c>
      <c r="F21" s="131">
        <f>F20*6%</f>
        <v>150</v>
      </c>
    </row>
    <row r="22" spans="1:6">
      <c r="A22" s="264"/>
      <c r="B22" s="158"/>
      <c r="C22" s="131" t="s">
        <v>3483</v>
      </c>
    </row>
    <row r="23" spans="1:6">
      <c r="A23" s="86"/>
    </row>
    <row r="26" spans="1:6">
      <c r="A26" s="158"/>
      <c r="C26" s="110"/>
    </row>
    <row r="27" spans="1:6">
      <c r="A27" s="264"/>
    </row>
    <row r="29" spans="1:6">
      <c r="A29" s="158"/>
    </row>
    <row r="31" spans="1:6">
      <c r="A31" s="264"/>
    </row>
    <row r="33" spans="1:6">
      <c r="A33" s="177"/>
      <c r="F33" s="86"/>
    </row>
    <row r="34" spans="1:6" ht="13.5" thickBot="1">
      <c r="A34" s="177"/>
      <c r="F34" s="137">
        <f>SUM(F19:F32)</f>
        <v>2650</v>
      </c>
    </row>
    <row r="35" spans="1:6" ht="13.5" thickTop="1">
      <c r="A35" s="177"/>
    </row>
    <row r="36" spans="1:6" ht="20.100000000000001" customHeight="1">
      <c r="A36" s="138" t="s">
        <v>1686</v>
      </c>
      <c r="B36" s="204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Two Thousand Six Hundred Fifty and NO/100 -----------</v>
      </c>
      <c r="C36" s="139"/>
      <c r="D36" s="139"/>
      <c r="E36" s="139"/>
      <c r="F36" s="139"/>
    </row>
    <row r="37" spans="1:6">
      <c r="A37" s="140"/>
    </row>
    <row r="38" spans="1:6" ht="25.5">
      <c r="A38" s="131" t="s">
        <v>10</v>
      </c>
      <c r="D38" s="265" t="s">
        <v>2894</v>
      </c>
      <c r="E38" s="266"/>
      <c r="F38" s="267"/>
    </row>
    <row r="39" spans="1:6">
      <c r="A39" s="147"/>
    </row>
    <row r="41" spans="1:6">
      <c r="A41" s="131" t="s">
        <v>51</v>
      </c>
      <c r="C41" s="141"/>
    </row>
    <row r="42" spans="1:6">
      <c r="A42" s="142"/>
      <c r="B42" s="142"/>
    </row>
    <row r="43" spans="1:6">
      <c r="D43" s="143" t="s">
        <v>7</v>
      </c>
    </row>
    <row r="44" spans="1:6">
      <c r="A44" s="131" t="s">
        <v>8</v>
      </c>
      <c r="F44" s="144"/>
    </row>
    <row r="48" spans="1:6">
      <c r="A48" s="142" t="s">
        <v>51</v>
      </c>
      <c r="B48" s="142"/>
      <c r="D48" s="142"/>
      <c r="E48" s="142"/>
      <c r="F48" s="142"/>
    </row>
    <row r="49" spans="1:6" s="109" customFormat="1" ht="17.100000000000001" customHeight="1">
      <c r="A49" s="145" t="s">
        <v>2948</v>
      </c>
      <c r="B49" s="146"/>
      <c r="C49" s="147"/>
      <c r="D49" s="147" t="s">
        <v>3</v>
      </c>
      <c r="E49" s="147"/>
      <c r="F49" s="147"/>
    </row>
    <row r="50" spans="1:6">
      <c r="A50" s="145"/>
      <c r="D50" s="131" t="s">
        <v>2</v>
      </c>
    </row>
    <row r="52" spans="1:6">
      <c r="D52" s="110" t="s">
        <v>1</v>
      </c>
    </row>
    <row r="53" spans="1:6">
      <c r="D53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sheetPr codeName="Sheet345">
    <pageSetUpPr fitToPage="1"/>
  </sheetPr>
  <dimension ref="A1:F53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2.42578125" style="131" customWidth="1"/>
    <col min="5" max="5" width="8.7109375" style="131" customWidth="1"/>
    <col min="6" max="6" width="13.28515625" style="131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1110</v>
      </c>
      <c r="E9" s="126" t="s">
        <v>3626</v>
      </c>
    </row>
    <row r="10" spans="1:6">
      <c r="A10" s="131" t="s">
        <v>3304</v>
      </c>
      <c r="D10" s="132" t="s">
        <v>1685</v>
      </c>
      <c r="E10" s="160" t="s">
        <v>3620</v>
      </c>
    </row>
    <row r="11" spans="1:6">
      <c r="A11" s="131" t="s">
        <v>3305</v>
      </c>
      <c r="D11" s="132" t="s">
        <v>1163</v>
      </c>
      <c r="E11" s="160" t="s">
        <v>1094</v>
      </c>
    </row>
    <row r="12" spans="1:6">
      <c r="A12" s="131" t="s">
        <v>3306</v>
      </c>
      <c r="D12" s="132" t="s">
        <v>1188</v>
      </c>
      <c r="E12" s="160" t="s">
        <v>3627</v>
      </c>
    </row>
    <row r="13" spans="1:6">
      <c r="A13" s="131" t="s">
        <v>1823</v>
      </c>
      <c r="E13" s="111"/>
    </row>
    <row r="14" spans="1:6">
      <c r="A14" s="131" t="s">
        <v>3307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6">
      <c r="A17" s="177"/>
    </row>
    <row r="18" spans="1:6">
      <c r="C18" s="243" t="s">
        <v>3628</v>
      </c>
    </row>
    <row r="19" spans="1:6">
      <c r="C19" s="110"/>
    </row>
    <row r="20" spans="1:6">
      <c r="A20" s="158" t="s">
        <v>3629</v>
      </c>
      <c r="B20" s="158" t="s">
        <v>3632</v>
      </c>
      <c r="C20" s="131" t="s">
        <v>3630</v>
      </c>
      <c r="F20" s="131">
        <f>473*11.3207547</f>
        <v>5354.7169731000004</v>
      </c>
    </row>
    <row r="21" spans="1:6">
      <c r="A21" s="158"/>
      <c r="C21" s="131" t="s">
        <v>1814</v>
      </c>
      <c r="F21" s="131">
        <f>F20*6%</f>
        <v>321.28301838600004</v>
      </c>
    </row>
    <row r="22" spans="1:6">
      <c r="A22" s="264"/>
      <c r="B22" s="158"/>
      <c r="C22" s="110"/>
    </row>
    <row r="23" spans="1:6">
      <c r="A23" s="86"/>
      <c r="C23" s="110" t="s">
        <v>3631</v>
      </c>
    </row>
    <row r="24" spans="1:6">
      <c r="A24" s="158"/>
      <c r="B24" s="141"/>
    </row>
    <row r="25" spans="1:6">
      <c r="A25" s="158" t="s">
        <v>3629</v>
      </c>
      <c r="B25" s="141" t="s">
        <v>3633</v>
      </c>
      <c r="C25" s="131" t="s">
        <v>3634</v>
      </c>
      <c r="F25" s="131">
        <f>94*11.320754716</f>
        <v>1064.1509433040001</v>
      </c>
    </row>
    <row r="26" spans="1:6">
      <c r="A26" s="158"/>
      <c r="C26" s="131" t="s">
        <v>1814</v>
      </c>
      <c r="F26" s="131">
        <f>F25*6%</f>
        <v>63.849056598240004</v>
      </c>
    </row>
    <row r="27" spans="1:6">
      <c r="A27" s="264"/>
    </row>
    <row r="29" spans="1:6">
      <c r="A29" s="158"/>
    </row>
    <row r="31" spans="1:6">
      <c r="A31" s="264"/>
    </row>
    <row r="33" spans="1:6">
      <c r="A33" s="177"/>
      <c r="F33" s="86"/>
    </row>
    <row r="34" spans="1:6" ht="13.5" thickBot="1">
      <c r="A34" s="177"/>
      <c r="F34" s="137">
        <f>SUM(F19:F32)</f>
        <v>6803.9999913882402</v>
      </c>
    </row>
    <row r="35" spans="1:6" ht="13.5" thickTop="1">
      <c r="A35" s="177"/>
    </row>
    <row r="36" spans="1:6" ht="20.100000000000001" customHeight="1">
      <c r="A36" s="138" t="s">
        <v>1686</v>
      </c>
      <c r="B36" s="204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Six Thousand Eight Hundred Three and 100/100 -----------</v>
      </c>
      <c r="C36" s="139"/>
      <c r="D36" s="139"/>
      <c r="E36" s="139"/>
      <c r="F36" s="139"/>
    </row>
    <row r="37" spans="1:6">
      <c r="A37" s="140"/>
    </row>
    <row r="38" spans="1:6" ht="25.5">
      <c r="A38" s="131" t="s">
        <v>10</v>
      </c>
      <c r="D38" s="265" t="s">
        <v>2894</v>
      </c>
      <c r="E38" s="266"/>
      <c r="F38" s="267"/>
    </row>
    <row r="39" spans="1:6">
      <c r="A39" s="147"/>
    </row>
    <row r="41" spans="1:6">
      <c r="A41" s="131" t="s">
        <v>51</v>
      </c>
      <c r="C41" s="141"/>
    </row>
    <row r="42" spans="1:6">
      <c r="A42" s="142"/>
      <c r="B42" s="142"/>
    </row>
    <row r="43" spans="1:6">
      <c r="D43" s="143" t="s">
        <v>7</v>
      </c>
    </row>
    <row r="44" spans="1:6">
      <c r="A44" s="131" t="s">
        <v>8</v>
      </c>
      <c r="F44" s="144"/>
    </row>
    <row r="48" spans="1:6">
      <c r="A48" s="142" t="s">
        <v>51</v>
      </c>
      <c r="B48" s="142"/>
      <c r="D48" s="142"/>
      <c r="E48" s="142"/>
      <c r="F48" s="142"/>
    </row>
    <row r="49" spans="1:6" s="109" customFormat="1" ht="17.100000000000001" customHeight="1">
      <c r="A49" s="145" t="s">
        <v>2948</v>
      </c>
      <c r="B49" s="146"/>
      <c r="C49" s="147"/>
      <c r="D49" s="147" t="s">
        <v>3</v>
      </c>
      <c r="E49" s="147"/>
      <c r="F49" s="147"/>
    </row>
    <row r="50" spans="1:6">
      <c r="A50" s="145"/>
      <c r="D50" s="131" t="s">
        <v>2</v>
      </c>
    </row>
    <row r="52" spans="1:6">
      <c r="D52" s="110" t="s">
        <v>1</v>
      </c>
    </row>
    <row r="53" spans="1:6">
      <c r="D53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sheetPr codeName="Sheet346">
    <pageSetUpPr fitToPage="1"/>
  </sheetPr>
  <dimension ref="A1:F54"/>
  <sheetViews>
    <sheetView topLeftCell="A4" workbookViewId="0">
      <selection activeCell="G9" sqref="G9:G13"/>
    </sheetView>
  </sheetViews>
  <sheetFormatPr defaultRowHeight="12.75"/>
  <cols>
    <col min="1" max="1" width="15.42578125" style="131" customWidth="1"/>
    <col min="2" max="2" width="12.42578125" style="131" customWidth="1"/>
    <col min="3" max="3" width="21" style="131" customWidth="1"/>
    <col min="4" max="4" width="12.28515625" style="131" customWidth="1"/>
    <col min="5" max="5" width="12.57031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1716</v>
      </c>
      <c r="E9" s="147" t="s">
        <v>3400</v>
      </c>
    </row>
    <row r="10" spans="1:6">
      <c r="A10" s="131" t="s">
        <v>3402</v>
      </c>
      <c r="D10" s="132" t="s">
        <v>1162</v>
      </c>
      <c r="E10" s="212" t="s">
        <v>3399</v>
      </c>
    </row>
    <row r="11" spans="1:6">
      <c r="A11" s="131" t="s">
        <v>3403</v>
      </c>
      <c r="D11" s="132" t="s">
        <v>1163</v>
      </c>
      <c r="E11" s="212" t="s">
        <v>1094</v>
      </c>
    </row>
    <row r="12" spans="1:6">
      <c r="A12" s="131" t="s">
        <v>3404</v>
      </c>
      <c r="D12" s="132" t="s">
        <v>1096</v>
      </c>
      <c r="E12" s="212" t="s">
        <v>3401</v>
      </c>
    </row>
    <row r="13" spans="1:6">
      <c r="A13" s="131" t="s">
        <v>1365</v>
      </c>
    </row>
    <row r="14" spans="1:6">
      <c r="A14" s="131" t="s">
        <v>3405</v>
      </c>
    </row>
    <row r="16" spans="1:6" s="95" customFormat="1" ht="20.100000000000001" customHeight="1">
      <c r="A16" s="90" t="s">
        <v>1113</v>
      </c>
      <c r="B16" s="90" t="s">
        <v>1114</v>
      </c>
      <c r="C16" s="92" t="s">
        <v>14</v>
      </c>
      <c r="D16" s="90"/>
      <c r="E16" s="93"/>
      <c r="F16" s="94" t="s">
        <v>13</v>
      </c>
    </row>
    <row r="18" spans="1:3">
      <c r="C18" s="110" t="s">
        <v>3406</v>
      </c>
    </row>
    <row r="19" spans="1:3">
      <c r="C19" s="110" t="s">
        <v>3407</v>
      </c>
    </row>
    <row r="20" spans="1:3">
      <c r="A20" s="158"/>
      <c r="B20" s="158"/>
    </row>
    <row r="21" spans="1:3">
      <c r="A21" s="158" t="s">
        <v>3363</v>
      </c>
      <c r="B21" s="141" t="s">
        <v>2247</v>
      </c>
      <c r="C21" s="131" t="s">
        <v>3408</v>
      </c>
    </row>
    <row r="22" spans="1:3">
      <c r="A22" s="158"/>
      <c r="B22" s="141"/>
      <c r="C22" s="110"/>
    </row>
    <row r="23" spans="1:3">
      <c r="A23" s="158"/>
      <c r="B23" s="141"/>
    </row>
    <row r="24" spans="1:3">
      <c r="A24" s="158"/>
      <c r="B24" s="158"/>
    </row>
    <row r="26" spans="1:3">
      <c r="A26" s="158"/>
      <c r="B26" s="141"/>
    </row>
    <row r="27" spans="1:3">
      <c r="A27" s="158"/>
      <c r="B27" s="141"/>
    </row>
    <row r="28" spans="1:3">
      <c r="A28" s="158"/>
      <c r="B28" s="141"/>
    </row>
    <row r="29" spans="1:3">
      <c r="A29" s="158"/>
      <c r="B29" s="141"/>
    </row>
    <row r="30" spans="1:3">
      <c r="A30" s="158"/>
      <c r="B30" s="141"/>
    </row>
    <row r="31" spans="1:3">
      <c r="A31" s="158"/>
      <c r="B31" s="141"/>
    </row>
    <row r="32" spans="1:3">
      <c r="A32" s="158"/>
      <c r="B32" s="141"/>
    </row>
    <row r="33" spans="1:6">
      <c r="A33" s="158"/>
      <c r="B33" s="141"/>
    </row>
    <row r="35" spans="1:6" ht="13.5" thickBot="1">
      <c r="F35" s="164">
        <f>SUM(F18:F34)</f>
        <v>0</v>
      </c>
    </row>
    <row r="36" spans="1:6" ht="13.5" thickTop="1"/>
    <row r="37" spans="1:6" ht="20.100000000000001" customHeight="1">
      <c r="A37" s="138" t="s">
        <v>1717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/>
      </c>
      <c r="C37" s="139"/>
      <c r="D37" s="139"/>
      <c r="E37" s="139"/>
      <c r="F37" s="139"/>
    </row>
    <row r="38" spans="1:6">
      <c r="A38" s="140"/>
    </row>
    <row r="39" spans="1:6" ht="25.5">
      <c r="A39" s="147" t="s">
        <v>10</v>
      </c>
      <c r="D39" s="265" t="s">
        <v>2894</v>
      </c>
      <c r="E39" s="266"/>
      <c r="F39" s="267"/>
    </row>
    <row r="40" spans="1:6">
      <c r="A40" s="143"/>
    </row>
    <row r="41" spans="1:6">
      <c r="A41" s="143"/>
    </row>
    <row r="42" spans="1:6">
      <c r="A42" s="143"/>
      <c r="C42" s="141"/>
    </row>
    <row r="43" spans="1:6">
      <c r="A43" s="248"/>
      <c r="B43" s="142"/>
    </row>
    <row r="44" spans="1:6">
      <c r="A44" s="143"/>
    </row>
    <row r="45" spans="1:6">
      <c r="A45" s="143" t="s">
        <v>8</v>
      </c>
      <c r="D45" s="143" t="s">
        <v>7</v>
      </c>
      <c r="F45" s="144"/>
    </row>
    <row r="46" spans="1:6">
      <c r="A46" s="143"/>
    </row>
    <row r="47" spans="1:6">
      <c r="A47" s="143"/>
    </row>
    <row r="48" spans="1:6">
      <c r="A48" s="143"/>
    </row>
    <row r="49" spans="1:6">
      <c r="A49" s="248"/>
      <c r="B49" s="142"/>
      <c r="D49" s="142"/>
      <c r="E49" s="142"/>
      <c r="F49" s="142"/>
    </row>
    <row r="50" spans="1:6" s="147" customFormat="1" ht="17.100000000000001" customHeight="1">
      <c r="A50" s="145" t="s">
        <v>2948</v>
      </c>
      <c r="B50" s="146"/>
      <c r="D50" s="147" t="s">
        <v>3</v>
      </c>
    </row>
    <row r="51" spans="1:6">
      <c r="A51" s="143"/>
      <c r="D51" s="131" t="s">
        <v>2</v>
      </c>
    </row>
    <row r="52" spans="1:6">
      <c r="A52" s="143"/>
    </row>
    <row r="53" spans="1:6">
      <c r="D53" s="110" t="s">
        <v>1</v>
      </c>
    </row>
    <row r="54" spans="1:6">
      <c r="D54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sheetPr codeName="Sheet391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5.42578125" style="111" customWidth="1"/>
    <col min="3" max="3" width="23" style="111" customWidth="1"/>
    <col min="4" max="4" width="12" style="111" customWidth="1"/>
    <col min="5" max="5" width="9.710937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1239</v>
      </c>
      <c r="E9" s="126" t="s">
        <v>3462</v>
      </c>
    </row>
    <row r="10" spans="1:6">
      <c r="A10" s="111" t="s">
        <v>3464</v>
      </c>
      <c r="D10" s="112" t="s">
        <v>1124</v>
      </c>
      <c r="E10" s="160" t="s">
        <v>3447</v>
      </c>
    </row>
    <row r="11" spans="1:6">
      <c r="A11" s="111" t="s">
        <v>3465</v>
      </c>
      <c r="D11" s="112" t="s">
        <v>1125</v>
      </c>
      <c r="E11" s="160" t="s">
        <v>1094</v>
      </c>
    </row>
    <row r="12" spans="1:6">
      <c r="A12" s="111" t="s">
        <v>3466</v>
      </c>
      <c r="D12" s="112" t="s">
        <v>1096</v>
      </c>
      <c r="E12" s="160" t="s">
        <v>3463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A18" s="116"/>
      <c r="B18" s="116"/>
      <c r="C18" s="2" t="s">
        <v>3416</v>
      </c>
    </row>
    <row r="20" spans="1:6">
      <c r="A20" s="116" t="s">
        <v>3467</v>
      </c>
      <c r="B20" s="116" t="s">
        <v>3468</v>
      </c>
      <c r="C20" s="111" t="s">
        <v>3469</v>
      </c>
    </row>
    <row r="21" spans="1:6">
      <c r="A21" s="116"/>
      <c r="B21" s="116"/>
      <c r="C21" s="111" t="s">
        <v>3470</v>
      </c>
      <c r="F21" s="111">
        <v>300</v>
      </c>
    </row>
    <row r="22" spans="1:6">
      <c r="C22" s="111" t="s">
        <v>3471</v>
      </c>
      <c r="F22" s="111">
        <v>260</v>
      </c>
    </row>
    <row r="23" spans="1:6">
      <c r="A23" s="116"/>
      <c r="B23" s="116"/>
      <c r="C23" s="111" t="s">
        <v>3472</v>
      </c>
      <c r="F23" s="111">
        <v>700</v>
      </c>
    </row>
    <row r="24" spans="1:6">
      <c r="C24" s="111" t="s">
        <v>3473</v>
      </c>
      <c r="F24" s="111">
        <v>1050</v>
      </c>
    </row>
    <row r="25" spans="1:6">
      <c r="C25" s="111" t="s">
        <v>3474</v>
      </c>
      <c r="F25" s="111">
        <v>600</v>
      </c>
    </row>
    <row r="26" spans="1:6">
      <c r="C26" s="111" t="s">
        <v>3475</v>
      </c>
      <c r="F26" s="111">
        <v>400</v>
      </c>
    </row>
    <row r="27" spans="1:6">
      <c r="C27" s="111" t="s">
        <v>3476</v>
      </c>
      <c r="F27" s="111">
        <v>90</v>
      </c>
    </row>
    <row r="28" spans="1:6">
      <c r="C28" s="167"/>
    </row>
    <row r="30" spans="1:6">
      <c r="A30" s="153"/>
    </row>
    <row r="31" spans="1:6">
      <c r="A31" s="153"/>
    </row>
    <row r="32" spans="1:6">
      <c r="A32" s="153"/>
    </row>
    <row r="33" spans="1:6">
      <c r="A33" s="153"/>
    </row>
    <row r="34" spans="1:6">
      <c r="A34" s="153"/>
    </row>
    <row r="35" spans="1:6" ht="13.5" thickBot="1">
      <c r="A35" s="153"/>
      <c r="F35" s="117">
        <f>SUM(F18:F33)</f>
        <v>3400</v>
      </c>
    </row>
    <row r="36" spans="1:6" ht="13.5" thickTop="1">
      <c r="A36" s="153"/>
    </row>
    <row r="37" spans="1:6" ht="20.100000000000001" customHeight="1">
      <c r="A37" s="118" t="s">
        <v>204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Three Thousand Four Hundred and NO/100 -----------</v>
      </c>
      <c r="C37" s="119"/>
      <c r="D37" s="119"/>
      <c r="E37" s="119"/>
      <c r="F37" s="119"/>
    </row>
    <row r="38" spans="1:6">
      <c r="A38" s="120" t="s">
        <v>11</v>
      </c>
    </row>
    <row r="39" spans="1:6" ht="25.5">
      <c r="A39" s="126" t="s">
        <v>10</v>
      </c>
      <c r="D39" s="265" t="s">
        <v>2894</v>
      </c>
      <c r="E39" s="266"/>
      <c r="F39" s="267"/>
    </row>
    <row r="42" spans="1:6">
      <c r="C42" s="121"/>
    </row>
    <row r="43" spans="1:6">
      <c r="A43" s="122"/>
      <c r="B43" s="122"/>
    </row>
    <row r="45" spans="1:6">
      <c r="A45" s="123" t="s">
        <v>8</v>
      </c>
      <c r="D45" s="123" t="s">
        <v>7</v>
      </c>
      <c r="F45" s="124"/>
    </row>
    <row r="49" spans="1:6">
      <c r="A49" s="122"/>
      <c r="B49" s="122"/>
      <c r="D49" s="122"/>
      <c r="E49" s="122"/>
      <c r="F49" s="122"/>
    </row>
    <row r="50" spans="1:6" s="126" customFormat="1" ht="17.100000000000001" customHeight="1">
      <c r="A50" s="151" t="s">
        <v>2948</v>
      </c>
      <c r="B50" s="125"/>
      <c r="D50" s="126" t="s">
        <v>3</v>
      </c>
    </row>
    <row r="51" spans="1:6">
      <c r="D51" s="111" t="s">
        <v>2</v>
      </c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 codeName="Sheet392">
    <pageSetUpPr fitToPage="1"/>
  </sheetPr>
  <dimension ref="A1:F53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2.42578125" style="131" customWidth="1"/>
    <col min="5" max="5" width="8.7109375" style="131" customWidth="1"/>
    <col min="6" max="6" width="13.28515625" style="131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A9" s="131" t="s">
        <v>3484</v>
      </c>
      <c r="D9" s="132" t="s">
        <v>1110</v>
      </c>
      <c r="E9" s="132" t="s">
        <v>5312</v>
      </c>
    </row>
    <row r="10" spans="1:6">
      <c r="A10" s="131" t="s">
        <v>3485</v>
      </c>
      <c r="D10" s="132" t="s">
        <v>1685</v>
      </c>
      <c r="E10" s="132" t="s">
        <v>5298</v>
      </c>
    </row>
    <row r="11" spans="1:6">
      <c r="A11" s="131" t="s">
        <v>3486</v>
      </c>
      <c r="D11" s="132" t="s">
        <v>1163</v>
      </c>
      <c r="E11" s="132" t="s">
        <v>1094</v>
      </c>
    </row>
    <row r="12" spans="1:6">
      <c r="A12" s="131" t="s">
        <v>1954</v>
      </c>
      <c r="D12" s="132" t="s">
        <v>1188</v>
      </c>
      <c r="E12" s="111" t="s">
        <v>5313</v>
      </c>
    </row>
    <row r="13" spans="1:6">
      <c r="A13" s="131" t="s">
        <v>3487</v>
      </c>
      <c r="E13" s="111"/>
    </row>
    <row r="14" spans="1:6">
      <c r="A14" s="131" t="s">
        <v>1933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6">
      <c r="A17" s="177"/>
    </row>
    <row r="18" spans="1:6">
      <c r="A18" s="158" t="s">
        <v>5314</v>
      </c>
      <c r="B18" s="158" t="s">
        <v>5315</v>
      </c>
      <c r="C18" s="131" t="s">
        <v>5316</v>
      </c>
      <c r="F18" s="131">
        <v>800</v>
      </c>
    </row>
    <row r="19" spans="1:6">
      <c r="A19" s="158"/>
      <c r="C19" s="131" t="s">
        <v>5317</v>
      </c>
    </row>
    <row r="20" spans="1:6">
      <c r="A20" s="264"/>
      <c r="B20" s="158"/>
    </row>
    <row r="21" spans="1:6">
      <c r="C21" s="131" t="s">
        <v>5175</v>
      </c>
      <c r="F21" s="131">
        <v>6</v>
      </c>
    </row>
    <row r="23" spans="1:6">
      <c r="A23" s="86"/>
    </row>
    <row r="24" spans="1:6">
      <c r="A24" s="158"/>
      <c r="B24" s="158"/>
    </row>
    <row r="26" spans="1:6">
      <c r="A26" s="158"/>
      <c r="C26" s="110"/>
    </row>
    <row r="27" spans="1:6">
      <c r="A27" s="264"/>
    </row>
    <row r="29" spans="1:6">
      <c r="A29" s="158"/>
    </row>
    <row r="31" spans="1:6">
      <c r="A31" s="264"/>
    </row>
    <row r="33" spans="1:6">
      <c r="A33" s="177"/>
      <c r="F33" s="86"/>
    </row>
    <row r="34" spans="1:6" ht="13.5" thickBot="1">
      <c r="A34" s="177"/>
      <c r="F34" s="137">
        <f>SUM(F18:F32)</f>
        <v>806</v>
      </c>
    </row>
    <row r="35" spans="1:6" ht="13.5" thickTop="1">
      <c r="A35" s="177"/>
    </row>
    <row r="36" spans="1:6" ht="20.100000000000001" customHeight="1">
      <c r="A36" s="138" t="s">
        <v>1686</v>
      </c>
      <c r="B36" s="204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Eight Hundred Six and NO/100 -----------</v>
      </c>
      <c r="C36" s="139"/>
      <c r="D36" s="139"/>
      <c r="E36" s="139"/>
      <c r="F36" s="139"/>
    </row>
    <row r="37" spans="1:6">
      <c r="A37" s="140"/>
    </row>
    <row r="38" spans="1:6" ht="25.5">
      <c r="A38" s="131" t="s">
        <v>10</v>
      </c>
      <c r="D38" s="265" t="s">
        <v>2894</v>
      </c>
      <c r="E38" s="266"/>
      <c r="F38" s="267"/>
    </row>
    <row r="39" spans="1:6">
      <c r="A39" s="147"/>
    </row>
    <row r="41" spans="1:6">
      <c r="A41" s="131" t="s">
        <v>51</v>
      </c>
      <c r="C41" s="141"/>
    </row>
    <row r="42" spans="1:6">
      <c r="A42" s="142"/>
      <c r="B42" s="142"/>
    </row>
    <row r="43" spans="1:6">
      <c r="D43" s="143" t="s">
        <v>7</v>
      </c>
    </row>
    <row r="44" spans="1:6">
      <c r="A44" s="131" t="s">
        <v>8</v>
      </c>
      <c r="F44" s="144"/>
    </row>
    <row r="48" spans="1:6">
      <c r="A48" s="142" t="s">
        <v>51</v>
      </c>
      <c r="B48" s="142"/>
      <c r="D48" s="142"/>
      <c r="E48" s="142"/>
      <c r="F48" s="142"/>
    </row>
    <row r="49" spans="1:6" s="109" customFormat="1" ht="17.100000000000001" customHeight="1">
      <c r="A49" s="145" t="s">
        <v>2948</v>
      </c>
      <c r="B49" s="146"/>
      <c r="C49" s="147"/>
      <c r="D49" s="147" t="s">
        <v>3</v>
      </c>
      <c r="E49" s="147"/>
      <c r="F49" s="147"/>
    </row>
    <row r="50" spans="1:6">
      <c r="A50" s="145"/>
      <c r="D50" s="131" t="s">
        <v>2</v>
      </c>
    </row>
    <row r="52" spans="1:6">
      <c r="D52" s="110" t="s">
        <v>1</v>
      </c>
    </row>
    <row r="53" spans="1:6">
      <c r="D53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DFD84-D6BD-471E-88F2-37BBA8BC96B3}">
  <sheetPr codeName="Sheet564"/>
  <dimension ref="A1:H51"/>
  <sheetViews>
    <sheetView view="pageBreakPreview" zoomScale="115" zoomScaleNormal="100" zoomScaleSheetLayoutView="115" workbookViewId="0">
      <selection activeCell="G9" sqref="G9:G13"/>
    </sheetView>
  </sheetViews>
  <sheetFormatPr defaultRowHeight="12.75"/>
  <cols>
    <col min="1" max="1" width="15.42578125" style="131" customWidth="1"/>
    <col min="2" max="2" width="15" style="131" customWidth="1"/>
    <col min="3" max="3" width="0.85546875" style="131" customWidth="1"/>
    <col min="4" max="4" width="21" style="131" customWidth="1"/>
    <col min="5" max="5" width="0.85546875" style="131" customWidth="1"/>
    <col min="6" max="6" width="12.28515625" style="131" customWidth="1"/>
    <col min="7" max="7" width="9.28515625" style="131" customWidth="1"/>
    <col min="8" max="8" width="13.28515625" style="131" customWidth="1"/>
    <col min="9" max="16384" width="9.140625" style="131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1716</v>
      </c>
      <c r="G9" s="489" t="s">
        <v>6764</v>
      </c>
    </row>
    <row r="10" spans="1:8">
      <c r="A10" s="488" t="s">
        <v>5832</v>
      </c>
      <c r="F10" s="132" t="s">
        <v>1162</v>
      </c>
      <c r="G10" s="489" t="s">
        <v>6758</v>
      </c>
    </row>
    <row r="11" spans="1:8">
      <c r="A11" s="131" t="s">
        <v>5831</v>
      </c>
      <c r="F11" s="132" t="s">
        <v>1163</v>
      </c>
      <c r="G11" s="489" t="s">
        <v>1094</v>
      </c>
    </row>
    <row r="12" spans="1:8">
      <c r="A12" s="131" t="s">
        <v>5833</v>
      </c>
      <c r="F12" s="132" t="s">
        <v>1096</v>
      </c>
      <c r="G12" s="483" t="s">
        <v>6765</v>
      </c>
    </row>
    <row r="13" spans="1:8">
      <c r="A13" s="131" t="s">
        <v>5834</v>
      </c>
      <c r="G13" s="483" t="s">
        <v>6182</v>
      </c>
    </row>
    <row r="14" spans="1:8">
      <c r="A14" s="131" t="s">
        <v>1287</v>
      </c>
      <c r="G14" s="483"/>
    </row>
    <row r="16" spans="1:8" s="95" customFormat="1" ht="20.100000000000001" customHeight="1">
      <c r="A16" s="90" t="s">
        <v>1113</v>
      </c>
      <c r="B16" s="90" t="s">
        <v>1114</v>
      </c>
      <c r="C16" s="90"/>
      <c r="D16" s="92" t="s">
        <v>14</v>
      </c>
      <c r="E16" s="92"/>
      <c r="F16" s="90"/>
      <c r="G16" s="93"/>
      <c r="H16" s="94" t="s">
        <v>13</v>
      </c>
    </row>
    <row r="18" spans="1:8">
      <c r="D18" s="482" t="s">
        <v>6761</v>
      </c>
      <c r="E18" s="482"/>
      <c r="F18" s="483"/>
      <c r="G18" s="483"/>
      <c r="H18" s="483"/>
    </row>
    <row r="19" spans="1:8">
      <c r="A19" s="158"/>
      <c r="B19" s="141"/>
      <c r="C19" s="141"/>
      <c r="D19" s="483"/>
      <c r="E19" s="483"/>
      <c r="F19" s="483"/>
      <c r="G19" s="483"/>
      <c r="H19" s="483"/>
    </row>
    <row r="20" spans="1:8">
      <c r="A20" s="492"/>
      <c r="B20" s="334"/>
      <c r="C20" s="158"/>
      <c r="D20" s="483" t="s">
        <v>6766</v>
      </c>
      <c r="E20" s="483"/>
      <c r="F20" s="483"/>
      <c r="G20" s="483"/>
      <c r="H20" s="483">
        <v>800</v>
      </c>
    </row>
    <row r="21" spans="1:8">
      <c r="D21" s="483" t="s">
        <v>6762</v>
      </c>
      <c r="E21" s="483"/>
      <c r="F21" s="483"/>
      <c r="G21" s="483"/>
      <c r="H21" s="149"/>
    </row>
    <row r="22" spans="1:8">
      <c r="D22" s="483"/>
      <c r="E22" s="483"/>
      <c r="F22" s="483"/>
      <c r="G22" s="483"/>
      <c r="H22" s="483"/>
    </row>
    <row r="23" spans="1:8">
      <c r="A23" s="158"/>
      <c r="B23" s="141"/>
      <c r="C23" s="141"/>
      <c r="D23" s="483"/>
      <c r="E23" s="483"/>
      <c r="F23" s="483"/>
      <c r="G23" s="483"/>
      <c r="H23" s="483"/>
    </row>
    <row r="24" spans="1:8">
      <c r="A24" s="158"/>
      <c r="B24" s="158"/>
      <c r="C24" s="158"/>
      <c r="D24" s="314"/>
      <c r="E24" s="314"/>
      <c r="F24" s="483"/>
      <c r="G24" s="483"/>
      <c r="H24" s="483"/>
    </row>
    <row r="25" spans="1:8">
      <c r="A25" s="158"/>
      <c r="B25" s="158"/>
      <c r="C25" s="158"/>
    </row>
    <row r="26" spans="1:8">
      <c r="A26" s="158"/>
      <c r="B26" s="158"/>
      <c r="C26" s="158"/>
      <c r="D26" s="95"/>
      <c r="E26" s="95"/>
    </row>
    <row r="27" spans="1:8">
      <c r="A27" s="158"/>
      <c r="B27" s="158"/>
      <c r="C27" s="158"/>
      <c r="D27" s="95"/>
      <c r="E27" s="95"/>
    </row>
    <row r="29" spans="1:8">
      <c r="A29" s="158"/>
      <c r="B29" s="158"/>
      <c r="C29" s="158"/>
    </row>
    <row r="30" spans="1:8">
      <c r="B30" s="140"/>
      <c r="C30" s="140"/>
    </row>
    <row r="32" spans="1:8" ht="13.5" thickBot="1">
      <c r="H32" s="164">
        <f>SUM(H18:H31)</f>
        <v>800</v>
      </c>
    </row>
    <row r="33" spans="1:8" ht="13.5" thickTop="1"/>
    <row r="34" spans="1:8" ht="20.100000000000001" customHeight="1">
      <c r="A34" s="138" t="s">
        <v>204</v>
      </c>
      <c r="B34" s="202" t="str">
        <f>IF(OR(H32&gt;1000000,H32&lt;=0),"",IF(H32&lt;1000,"",IF(MOD(H32,1000000)&gt;=100000,INDEX(numbers,TRUNC(MOD(H32,1000000)/100000,0)+1)&amp;" Hundred","")&amp;IF(MOD(H32,100000)&gt;=20000," "&amp;INDEX(tens,TRUNC(MOD(H32,100000)/10000,0)+1)&amp;IF(MOD(MOD(H32,100000),10000)&gt;=1000,"-"&amp;INDEX(numbers,TRUNC(MOD(MOD(H32,100000),10000)/1000,0)+1),""),IF(MOD(H32,100000)&gt;=1000," "&amp;INDEX(numbers,TRUNC(MOD(H32,100000)/1000,0)+1),""))&amp;" Thousand") &amp; IF(H32&lt;1,"Zero Dollars",IF(MOD(H32,1000)&gt;=100," "&amp;INDEX(numbers,TRUNC(MOD(H32,1000)/100,0)+1)&amp;" Hundred","")&amp;IF(MOD(H32,100)&gt;=20," "&amp;INDEX(tens,TRUNC(MOD(H32,100)/10,0)+1)&amp;IF(MOD(MOD(H32,100),10)&gt;=1,"-"&amp;INDEX(numbers,TRUNC(MOD(MOD(H32,100),10),0)+1),""),IF(MOD(H32,100)&gt;=1," "&amp;INDEX(numbers,TRUNC(MOD(H32,100),0)+1),""))&amp;"") &amp; " and " &amp; IF(MOD(H32,1)&lt;0.005,"NO",ROUND(MOD(H32,1)*100,0)) &amp; "/100 -----------")</f>
        <v xml:space="preserve"> Eight Hundred and NO/100 -----------</v>
      </c>
      <c r="C34" s="202"/>
      <c r="D34" s="139"/>
      <c r="E34" s="139"/>
      <c r="F34" s="139"/>
      <c r="G34" s="139"/>
      <c r="H34" s="262"/>
    </row>
    <row r="35" spans="1:8">
      <c r="A35" s="140"/>
    </row>
    <row r="36" spans="1:8" ht="25.5">
      <c r="A36" s="143" t="s">
        <v>10</v>
      </c>
      <c r="F36" s="265" t="s">
        <v>2894</v>
      </c>
      <c r="G36" s="266"/>
      <c r="H36" s="267"/>
    </row>
    <row r="37" spans="1:8">
      <c r="A37" s="143"/>
    </row>
    <row r="38" spans="1:8">
      <c r="A38" s="147"/>
    </row>
    <row r="39" spans="1:8">
      <c r="A39" s="143"/>
      <c r="D39" s="141"/>
      <c r="E39" s="141"/>
    </row>
    <row r="40" spans="1:8">
      <c r="A40" s="248"/>
      <c r="B40" s="142"/>
      <c r="C40" s="445"/>
    </row>
    <row r="41" spans="1:8">
      <c r="A41" s="143"/>
    </row>
    <row r="42" spans="1:8">
      <c r="A42" s="143" t="s">
        <v>8</v>
      </c>
      <c r="D42" s="143" t="s">
        <v>8</v>
      </c>
      <c r="F42" s="143" t="s">
        <v>7</v>
      </c>
      <c r="H42" s="144"/>
    </row>
    <row r="43" spans="1:8">
      <c r="A43" s="143"/>
      <c r="D43" s="143"/>
    </row>
    <row r="44" spans="1:8">
      <c r="A44" s="143"/>
      <c r="D44" s="143"/>
    </row>
    <row r="45" spans="1:8">
      <c r="A45" s="143"/>
      <c r="D45" s="143"/>
    </row>
    <row r="46" spans="1:8">
      <c r="A46" s="248"/>
      <c r="B46" s="142"/>
      <c r="C46" s="445"/>
      <c r="D46" s="248"/>
      <c r="F46" s="142"/>
      <c r="G46" s="142"/>
      <c r="H46" s="142"/>
    </row>
    <row r="47" spans="1:8" s="147" customFormat="1" ht="17.100000000000001" customHeight="1">
      <c r="A47" s="145" t="s">
        <v>2948</v>
      </c>
      <c r="B47" s="146"/>
      <c r="C47" s="146"/>
      <c r="D47" s="145" t="s">
        <v>103</v>
      </c>
      <c r="F47" s="147" t="s">
        <v>3</v>
      </c>
    </row>
    <row r="48" spans="1:8">
      <c r="A48" s="143"/>
      <c r="F48" s="131" t="s">
        <v>2</v>
      </c>
    </row>
    <row r="49" spans="1:6">
      <c r="A49" s="145"/>
    </row>
    <row r="50" spans="1:6">
      <c r="F50" s="110" t="s">
        <v>1</v>
      </c>
    </row>
    <row r="51" spans="1:6">
      <c r="F51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sheetPr codeName="Sheet401">
    <pageSetUpPr fitToPage="1"/>
  </sheetPr>
  <dimension ref="A1:I54"/>
  <sheetViews>
    <sheetView topLeftCell="A4" workbookViewId="0">
      <selection activeCell="G9" sqref="G9:G13"/>
    </sheetView>
  </sheetViews>
  <sheetFormatPr defaultRowHeight="12.75"/>
  <cols>
    <col min="1" max="1" width="16.140625" style="1" customWidth="1"/>
    <col min="2" max="2" width="14" style="1" customWidth="1"/>
    <col min="3" max="3" width="1.7109375" style="1" customWidth="1"/>
    <col min="4" max="4" width="23" style="1" customWidth="1"/>
    <col min="5" max="5" width="1.4257812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32" t="s">
        <v>5307</v>
      </c>
      <c r="H9" s="111"/>
    </row>
    <row r="10" spans="1:8">
      <c r="A10" s="111" t="s">
        <v>1998</v>
      </c>
      <c r="B10" s="111"/>
      <c r="C10" s="111"/>
      <c r="D10" s="111"/>
      <c r="E10" s="111"/>
      <c r="F10" s="112" t="s">
        <v>1162</v>
      </c>
      <c r="G10" s="132" t="s">
        <v>5298</v>
      </c>
      <c r="H10" s="111"/>
    </row>
    <row r="11" spans="1:8">
      <c r="A11" s="111" t="s">
        <v>3545</v>
      </c>
      <c r="B11" s="111"/>
      <c r="C11" s="111"/>
      <c r="D11" s="111"/>
      <c r="E11" s="111"/>
      <c r="F11" s="112" t="s">
        <v>1163</v>
      </c>
      <c r="G11" s="132" t="s">
        <v>1094</v>
      </c>
      <c r="H11" s="111"/>
    </row>
    <row r="12" spans="1:8">
      <c r="A12" s="111" t="s">
        <v>1496</v>
      </c>
      <c r="B12" s="111"/>
      <c r="C12" s="111"/>
      <c r="D12" s="111"/>
      <c r="E12" s="111"/>
      <c r="F12" s="112" t="s">
        <v>1135</v>
      </c>
      <c r="G12" s="111" t="s">
        <v>5308</v>
      </c>
      <c r="H12" s="111"/>
    </row>
    <row r="13" spans="1:8">
      <c r="A13" s="111" t="s">
        <v>2000</v>
      </c>
      <c r="B13" s="111"/>
      <c r="C13" s="111"/>
      <c r="D13" s="111"/>
      <c r="E13" s="111"/>
      <c r="F13" s="111"/>
      <c r="G13" s="111"/>
      <c r="H13" s="111"/>
    </row>
    <row r="14" spans="1:8">
      <c r="A14" s="111" t="s">
        <v>2001</v>
      </c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</row>
    <row r="18" spans="1:9">
      <c r="A18" s="111"/>
      <c r="B18" s="111"/>
      <c r="C18" s="111"/>
      <c r="D18" s="2" t="s">
        <v>3657</v>
      </c>
      <c r="E18" s="2"/>
      <c r="F18" s="111"/>
      <c r="G18" s="111"/>
      <c r="H18" s="111"/>
    </row>
    <row r="19" spans="1:9">
      <c r="A19" s="112"/>
      <c r="B19" s="116"/>
      <c r="C19" s="116"/>
      <c r="D19" s="2"/>
      <c r="E19" s="2"/>
      <c r="F19" s="111"/>
      <c r="G19" s="111"/>
      <c r="H19" s="111"/>
      <c r="I19" s="111"/>
    </row>
    <row r="20" spans="1:9">
      <c r="A20" s="116" t="s">
        <v>5309</v>
      </c>
      <c r="B20" s="116" t="s">
        <v>5310</v>
      </c>
      <c r="C20" s="116"/>
      <c r="D20" s="111" t="s">
        <v>4755</v>
      </c>
      <c r="E20" s="111"/>
      <c r="F20" s="111"/>
      <c r="G20" s="111"/>
      <c r="H20" s="111">
        <v>10000</v>
      </c>
      <c r="I20" s="111"/>
    </row>
    <row r="21" spans="1:9">
      <c r="A21" s="116"/>
      <c r="B21" s="120"/>
      <c r="C21" s="120"/>
      <c r="D21" s="111" t="s">
        <v>5311</v>
      </c>
      <c r="E21" s="111"/>
      <c r="F21" s="111"/>
      <c r="G21" s="111"/>
      <c r="H21" s="111"/>
      <c r="I21" s="111"/>
    </row>
    <row r="22" spans="1:9">
      <c r="A22" s="116"/>
      <c r="B22" s="120"/>
      <c r="C22" s="120"/>
      <c r="D22" s="111"/>
      <c r="E22" s="111"/>
      <c r="F22" s="111"/>
      <c r="G22" s="111"/>
      <c r="H22" s="111"/>
      <c r="I22" s="111"/>
    </row>
    <row r="23" spans="1:9">
      <c r="A23" s="116"/>
      <c r="B23" s="120"/>
      <c r="C23" s="120"/>
      <c r="D23" s="111"/>
      <c r="E23" s="111"/>
      <c r="F23" s="111"/>
      <c r="G23" s="111"/>
      <c r="H23" s="111"/>
    </row>
    <row r="24" spans="1:9">
      <c r="A24" s="116"/>
      <c r="B24" s="120"/>
      <c r="C24" s="120"/>
      <c r="I24" s="111"/>
    </row>
    <row r="25" spans="1:9">
      <c r="A25" s="116"/>
      <c r="B25" s="120"/>
      <c r="C25" s="120"/>
      <c r="D25" s="167"/>
      <c r="E25" s="167"/>
      <c r="F25" s="111"/>
      <c r="G25" s="111"/>
      <c r="H25" s="111"/>
      <c r="I25" s="111"/>
    </row>
    <row r="26" spans="1:9">
      <c r="A26" s="116"/>
      <c r="B26" s="120"/>
      <c r="C26" s="120"/>
      <c r="D26" s="111"/>
      <c r="E26" s="111"/>
      <c r="F26" s="111"/>
      <c r="G26" s="111"/>
      <c r="H26" s="111"/>
      <c r="I26" s="111"/>
    </row>
    <row r="27" spans="1:9">
      <c r="A27" s="116"/>
      <c r="B27" s="120"/>
      <c r="C27" s="120"/>
      <c r="I27" s="111"/>
    </row>
    <row r="28" spans="1:9">
      <c r="A28" s="116"/>
      <c r="B28" s="120"/>
      <c r="C28" s="120"/>
      <c r="I28" s="111"/>
    </row>
    <row r="29" spans="1:9">
      <c r="A29" s="116"/>
      <c r="B29" s="120"/>
      <c r="C29" s="120"/>
      <c r="D29" s="111"/>
      <c r="E29" s="111"/>
      <c r="F29" s="111"/>
      <c r="G29" s="111"/>
      <c r="H29" s="111"/>
      <c r="I29" s="111"/>
    </row>
    <row r="30" spans="1:9">
      <c r="A30" s="116"/>
      <c r="B30" s="120"/>
      <c r="C30" s="120"/>
      <c r="D30" s="111"/>
      <c r="E30" s="111"/>
      <c r="F30" s="111"/>
      <c r="G30" s="111"/>
      <c r="H30" s="111"/>
      <c r="I30" s="111"/>
    </row>
    <row r="31" spans="1:9">
      <c r="A31" s="116"/>
      <c r="B31" s="120"/>
      <c r="C31" s="120"/>
      <c r="D31" s="111"/>
      <c r="E31" s="111"/>
      <c r="F31" s="111"/>
      <c r="G31" s="111"/>
      <c r="H31" s="111"/>
      <c r="I31" s="111"/>
    </row>
    <row r="32" spans="1:9">
      <c r="A32" s="111"/>
      <c r="B32" s="111"/>
      <c r="C32" s="111"/>
      <c r="D32" s="111"/>
      <c r="E32" s="111"/>
      <c r="F32" s="111"/>
      <c r="G32" s="111"/>
      <c r="I32" s="111"/>
    </row>
    <row r="33" spans="1:9" ht="13.5" thickBot="1">
      <c r="A33" s="111"/>
      <c r="B33" s="111"/>
      <c r="C33" s="111"/>
      <c r="D33" s="111"/>
      <c r="E33" s="111"/>
      <c r="F33" s="111"/>
      <c r="G33" s="111"/>
      <c r="H33" s="117">
        <f>SUM(H20:H32)</f>
        <v>10000</v>
      </c>
      <c r="I33" s="111"/>
    </row>
    <row r="34" spans="1:9" ht="13.5" thickTop="1">
      <c r="A34" s="111"/>
      <c r="B34" s="111"/>
      <c r="C34" s="111"/>
      <c r="D34" s="111"/>
      <c r="E34" s="111"/>
      <c r="F34" s="111"/>
      <c r="G34" s="111"/>
      <c r="H34" s="111"/>
      <c r="I34" s="111"/>
    </row>
    <row r="35" spans="1:9" ht="20.100000000000001" customHeight="1">
      <c r="A35" s="118" t="s">
        <v>1133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Ten Thousand and NO/100 -----------</v>
      </c>
      <c r="C35" s="202"/>
      <c r="D35" s="119"/>
      <c r="E35" s="119"/>
      <c r="F35" s="119"/>
      <c r="G35" s="119"/>
      <c r="H35" s="119"/>
      <c r="I35" s="111"/>
    </row>
    <row r="36" spans="1:9">
      <c r="A36" s="120" t="s">
        <v>11</v>
      </c>
      <c r="B36" s="111"/>
      <c r="C36" s="111"/>
      <c r="D36" s="111"/>
      <c r="E36" s="111"/>
      <c r="F36" s="111"/>
      <c r="G36" s="111"/>
      <c r="H36" s="111"/>
    </row>
    <row r="37" spans="1:9" ht="25.5">
      <c r="A37" s="126" t="s">
        <v>10</v>
      </c>
      <c r="B37" s="111"/>
      <c r="C37" s="111"/>
      <c r="D37" s="111"/>
      <c r="E37" s="111"/>
      <c r="F37" s="265" t="s">
        <v>2894</v>
      </c>
      <c r="G37" s="266"/>
      <c r="H37" s="267"/>
    </row>
    <row r="38" spans="1:9">
      <c r="A38" s="111"/>
      <c r="B38" s="111"/>
      <c r="C38" s="111"/>
      <c r="D38" s="111"/>
      <c r="E38" s="111"/>
      <c r="F38" s="111"/>
      <c r="G38" s="111"/>
      <c r="H38" s="111"/>
    </row>
    <row r="39" spans="1:9">
      <c r="A39" s="126"/>
      <c r="B39" s="111"/>
      <c r="C39" s="111"/>
      <c r="D39" s="111"/>
      <c r="E39" s="111"/>
    </row>
    <row r="40" spans="1:9">
      <c r="A40" s="111"/>
      <c r="B40" s="111"/>
      <c r="C40" s="111"/>
      <c r="D40" s="121"/>
      <c r="E40" s="121"/>
      <c r="F40" s="111"/>
      <c r="G40" s="111"/>
      <c r="H40" s="111"/>
    </row>
    <row r="41" spans="1:9">
      <c r="A41" s="122"/>
      <c r="B41" s="122"/>
      <c r="C41" s="111"/>
      <c r="D41" s="111"/>
      <c r="E41" s="111"/>
      <c r="F41" s="111"/>
      <c r="G41" s="111"/>
      <c r="H41" s="111"/>
    </row>
    <row r="42" spans="1:9">
      <c r="B42" s="111"/>
      <c r="C42" s="111"/>
      <c r="D42" s="111"/>
      <c r="E42" s="111"/>
      <c r="F42" s="111"/>
      <c r="G42" s="111"/>
      <c r="H42" s="111"/>
    </row>
    <row r="43" spans="1:9">
      <c r="A43" s="123" t="s">
        <v>8</v>
      </c>
      <c r="D43" s="123"/>
      <c r="E43" s="111"/>
      <c r="F43" s="123" t="s">
        <v>7</v>
      </c>
      <c r="G43" s="111"/>
      <c r="H43" s="124"/>
    </row>
    <row r="44" spans="1:9">
      <c r="A44" s="111"/>
      <c r="B44" s="111"/>
      <c r="C44" s="111"/>
      <c r="D44" s="111"/>
      <c r="E44" s="111"/>
      <c r="F44" s="111"/>
      <c r="G44" s="111"/>
      <c r="H44" s="111"/>
    </row>
    <row r="45" spans="1:9">
      <c r="A45" s="111"/>
      <c r="B45" s="111"/>
      <c r="C45" s="111"/>
      <c r="D45" s="111"/>
      <c r="E45" s="111"/>
      <c r="F45" s="111"/>
      <c r="G45" s="111"/>
      <c r="H45" s="111"/>
    </row>
    <row r="46" spans="1:9">
      <c r="A46" s="111"/>
      <c r="B46" s="111"/>
      <c r="C46" s="111"/>
      <c r="D46" s="111"/>
      <c r="E46" s="111"/>
      <c r="F46" s="111"/>
      <c r="G46" s="111"/>
      <c r="H46" s="111"/>
    </row>
    <row r="47" spans="1:9">
      <c r="A47" s="122"/>
      <c r="B47" s="122"/>
      <c r="C47" s="111"/>
      <c r="D47" s="111"/>
      <c r="E47" s="111"/>
      <c r="F47" s="122"/>
      <c r="G47" s="122"/>
      <c r="H47" s="122"/>
    </row>
    <row r="48" spans="1:9" s="3" customFormat="1" ht="17.100000000000001" customHeight="1">
      <c r="A48" s="151" t="s">
        <v>2948</v>
      </c>
      <c r="B48" s="125"/>
      <c r="C48" s="125"/>
      <c r="D48" s="151"/>
      <c r="E48" s="126"/>
      <c r="F48" s="126" t="s">
        <v>3</v>
      </c>
      <c r="G48" s="126"/>
      <c r="H48" s="126"/>
    </row>
    <row r="49" spans="1:8">
      <c r="A49" s="111"/>
      <c r="B49" s="111"/>
      <c r="C49" s="111"/>
      <c r="D49" s="111"/>
      <c r="E49" s="111"/>
      <c r="F49" s="111" t="s">
        <v>2</v>
      </c>
      <c r="G49" s="111"/>
      <c r="H49" s="111"/>
    </row>
    <row r="50" spans="1:8">
      <c r="A50" s="151"/>
      <c r="B50" s="111"/>
      <c r="C50" s="111"/>
      <c r="D50" s="111"/>
      <c r="E50" s="111"/>
      <c r="F50" s="111"/>
      <c r="G50" s="111"/>
      <c r="H50" s="111"/>
    </row>
    <row r="51" spans="1:8">
      <c r="A51" s="111"/>
      <c r="B51" s="111"/>
      <c r="C51" s="111"/>
      <c r="D51" s="111"/>
      <c r="E51" s="111"/>
      <c r="F51" s="2" t="s">
        <v>1</v>
      </c>
      <c r="G51" s="111"/>
      <c r="H51" s="111"/>
    </row>
    <row r="52" spans="1:8">
      <c r="A52" s="111"/>
      <c r="B52" s="111"/>
      <c r="C52" s="111"/>
      <c r="D52" s="111"/>
      <c r="E52" s="111"/>
      <c r="F52" s="2" t="s">
        <v>0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1-000000000000}">
  <sheetPr codeName="Sheet455"/>
  <dimension ref="A1:F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4193</v>
      </c>
      <c r="F9" s="111"/>
    </row>
    <row r="10" spans="1:6">
      <c r="A10" s="111" t="s">
        <v>4195</v>
      </c>
      <c r="B10" s="111"/>
      <c r="C10" s="111"/>
      <c r="D10" s="112" t="s">
        <v>1162</v>
      </c>
      <c r="E10" s="112" t="s">
        <v>4192</v>
      </c>
      <c r="F10" s="111"/>
    </row>
    <row r="11" spans="1:6">
      <c r="A11" s="111" t="s">
        <v>4196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4197</v>
      </c>
      <c r="B12" s="111"/>
      <c r="C12" s="111"/>
      <c r="D12" s="112" t="s">
        <v>1096</v>
      </c>
      <c r="E12" s="120" t="s">
        <v>4194</v>
      </c>
      <c r="F12" s="111"/>
    </row>
    <row r="13" spans="1:6">
      <c r="A13" s="111" t="s">
        <v>4198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6" t="s">
        <v>4199</v>
      </c>
      <c r="B18" s="241" t="s">
        <v>4200</v>
      </c>
      <c r="C18" s="111" t="s">
        <v>4201</v>
      </c>
      <c r="D18" s="111"/>
      <c r="E18" s="111"/>
      <c r="F18" s="111">
        <v>476</v>
      </c>
    </row>
    <row r="19" spans="1:6">
      <c r="A19" s="116"/>
      <c r="B19" s="241"/>
      <c r="C19" s="2"/>
      <c r="D19" s="111"/>
      <c r="E19" s="111"/>
      <c r="F19" s="111"/>
    </row>
    <row r="20" spans="1:6">
      <c r="A20" s="111"/>
      <c r="B20" s="314"/>
      <c r="C20" s="2"/>
      <c r="D20" s="111"/>
      <c r="E20" s="111"/>
      <c r="F20" s="111"/>
    </row>
    <row r="21" spans="1:6">
      <c r="A21" s="111"/>
      <c r="B21" s="313"/>
      <c r="C21" s="111"/>
      <c r="D21" s="111"/>
      <c r="E21" s="111"/>
      <c r="F21" s="111"/>
    </row>
    <row r="22" spans="1:6">
      <c r="A22" s="111"/>
      <c r="B22" s="241"/>
      <c r="C22" s="111"/>
      <c r="D22" s="111"/>
      <c r="E22" s="111"/>
      <c r="F22" s="111"/>
    </row>
    <row r="23" spans="1:6">
      <c r="A23" s="111"/>
      <c r="B23" s="111"/>
      <c r="C23" s="111"/>
      <c r="D23" s="111"/>
      <c r="E23" s="111"/>
      <c r="F23" s="111"/>
    </row>
    <row r="24" spans="1:6">
      <c r="A24" s="111"/>
      <c r="B24" s="111"/>
      <c r="C24" s="111"/>
      <c r="D24" s="111"/>
      <c r="E24" s="111"/>
      <c r="F24" s="111"/>
    </row>
    <row r="25" spans="1:6">
      <c r="A25" s="111"/>
      <c r="B25" s="111"/>
      <c r="C25" s="111"/>
      <c r="D25" s="111"/>
      <c r="E25" s="111"/>
      <c r="F25" s="111"/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23"/>
      <c r="B32" s="111"/>
      <c r="C32" s="111"/>
      <c r="D32" s="111"/>
      <c r="E32" s="111"/>
      <c r="F32" s="111"/>
    </row>
    <row r="33" spans="1:6">
      <c r="A33" s="111"/>
      <c r="B33" s="111"/>
      <c r="C33" s="111"/>
      <c r="D33" s="111"/>
      <c r="E33" s="111"/>
      <c r="F33" s="111"/>
    </row>
    <row r="34" spans="1:6">
      <c r="A34" s="123"/>
      <c r="B34" s="111"/>
      <c r="C34" s="111"/>
      <c r="D34" s="111"/>
      <c r="E34" s="111"/>
      <c r="F34" s="111"/>
    </row>
    <row r="35" spans="1:6" ht="13.5" thickBot="1">
      <c r="A35" s="111"/>
      <c r="B35" s="111"/>
      <c r="C35" s="111"/>
      <c r="D35" s="111"/>
      <c r="E35" s="111"/>
      <c r="F35" s="117">
        <f>SUM(F18:F34)</f>
        <v>476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Four Hundred Seventy-Six and NO/100 -----------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A44" s="111"/>
      <c r="B44" s="111"/>
      <c r="C44" s="111"/>
      <c r="D44" s="111"/>
      <c r="E44" s="111"/>
      <c r="F44" s="111"/>
    </row>
    <row r="45" spans="1:6">
      <c r="A45" s="123" t="s">
        <v>8</v>
      </c>
      <c r="B45" s="111"/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sheetPr codeName="Sheet402">
    <pageSetUpPr fitToPage="1"/>
  </sheetPr>
  <dimension ref="A1:R55"/>
  <sheetViews>
    <sheetView topLeftCell="A4" zoomScaleNormal="100" workbookViewId="0">
      <selection activeCell="G9" sqref="G9:G13"/>
    </sheetView>
  </sheetViews>
  <sheetFormatPr defaultRowHeight="12.75"/>
  <cols>
    <col min="1" max="1" width="15.85546875" style="111" customWidth="1"/>
    <col min="2" max="2" width="15.42578125" style="111" customWidth="1"/>
    <col min="3" max="3" width="1" style="111" customWidth="1"/>
    <col min="4" max="4" width="23" style="111" customWidth="1"/>
    <col min="5" max="5" width="1.42578125" style="111" customWidth="1"/>
    <col min="6" max="6" width="12" style="111" customWidth="1"/>
    <col min="7" max="7" width="9.7109375" style="111" customWidth="1"/>
    <col min="8" max="8" width="13.140625" style="111" customWidth="1"/>
    <col min="9" max="16384" width="9.140625" style="111"/>
  </cols>
  <sheetData>
    <row r="1" spans="1:1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8">
      <c r="A8" s="111" t="s">
        <v>24</v>
      </c>
      <c r="F8" s="22" t="s">
        <v>23</v>
      </c>
    </row>
    <row r="9" spans="1:18">
      <c r="F9" s="112" t="s">
        <v>1239</v>
      </c>
      <c r="G9" s="489" t="s">
        <v>7271</v>
      </c>
    </row>
    <row r="10" spans="1:18">
      <c r="A10" s="111" t="s">
        <v>3568</v>
      </c>
      <c r="F10" s="112" t="s">
        <v>1124</v>
      </c>
      <c r="G10" s="489" t="s">
        <v>7265</v>
      </c>
    </row>
    <row r="11" spans="1:18">
      <c r="A11" s="111" t="s">
        <v>3569</v>
      </c>
      <c r="F11" s="112" t="s">
        <v>1125</v>
      </c>
      <c r="G11" s="489" t="s">
        <v>1094</v>
      </c>
    </row>
    <row r="12" spans="1:18">
      <c r="A12" s="111" t="s">
        <v>3570</v>
      </c>
      <c r="F12" s="112" t="s">
        <v>1096</v>
      </c>
      <c r="G12" s="486" t="s">
        <v>7272</v>
      </c>
    </row>
    <row r="13" spans="1:18">
      <c r="A13" s="111" t="s">
        <v>1572</v>
      </c>
      <c r="G13" s="483" t="s">
        <v>6182</v>
      </c>
    </row>
    <row r="14" spans="1:18">
      <c r="A14" s="111" t="s">
        <v>3571</v>
      </c>
    </row>
    <row r="15" spans="1:18">
      <c r="K15" s="116" t="s">
        <v>11</v>
      </c>
      <c r="L15" s="116" t="s">
        <v>5971</v>
      </c>
      <c r="M15" s="116"/>
      <c r="N15" s="111" t="s">
        <v>5972</v>
      </c>
      <c r="R15" s="111">
        <v>2300</v>
      </c>
    </row>
    <row r="16" spans="1:18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  <c r="K16" s="116"/>
      <c r="L16" s="116"/>
      <c r="M16" s="116"/>
      <c r="N16" s="111" t="s">
        <v>5970</v>
      </c>
      <c r="O16" s="111"/>
      <c r="P16" s="111"/>
      <c r="Q16" s="111"/>
      <c r="R16" s="111"/>
    </row>
    <row r="17" spans="1:14">
      <c r="A17" s="153"/>
      <c r="N17" s="111" t="s">
        <v>6049</v>
      </c>
    </row>
    <row r="18" spans="1:14">
      <c r="B18" s="116" t="s">
        <v>11</v>
      </c>
      <c r="C18" s="116"/>
      <c r="D18" s="2" t="s">
        <v>3658</v>
      </c>
      <c r="E18" s="2"/>
    </row>
    <row r="20" spans="1:14">
      <c r="A20" s="485" t="s">
        <v>7273</v>
      </c>
      <c r="B20" s="485" t="s">
        <v>7274</v>
      </c>
      <c r="C20" s="116"/>
      <c r="D20" s="111" t="s">
        <v>6425</v>
      </c>
      <c r="H20" s="111">
        <v>7300</v>
      </c>
    </row>
    <row r="21" spans="1:14">
      <c r="A21" s="116"/>
      <c r="B21" s="116"/>
      <c r="C21" s="116"/>
      <c r="D21" s="111" t="s">
        <v>7275</v>
      </c>
    </row>
    <row r="22" spans="1:14">
      <c r="A22" s="116"/>
      <c r="B22" s="116"/>
      <c r="C22" s="116"/>
    </row>
    <row r="23" spans="1:14">
      <c r="A23" s="116"/>
      <c r="B23" s="116"/>
      <c r="C23" s="116"/>
    </row>
    <row r="24" spans="1:14">
      <c r="A24" s="116"/>
      <c r="B24" s="116"/>
      <c r="C24" s="116"/>
    </row>
    <row r="25" spans="1:14">
      <c r="A25" s="116"/>
      <c r="B25" s="116"/>
      <c r="C25" s="116"/>
    </row>
    <row r="26" spans="1:14">
      <c r="A26" s="116"/>
      <c r="B26" s="116"/>
      <c r="C26" s="116"/>
    </row>
    <row r="27" spans="1:14">
      <c r="A27" s="116"/>
      <c r="B27" s="116"/>
      <c r="C27" s="116"/>
    </row>
    <row r="29" spans="1:14">
      <c r="A29" s="116"/>
      <c r="B29" s="121"/>
      <c r="C29" s="121"/>
    </row>
    <row r="30" spans="1:14">
      <c r="A30" s="121"/>
      <c r="B30" s="121"/>
      <c r="C30" s="121"/>
    </row>
    <row r="31" spans="1:14">
      <c r="A31" s="116"/>
      <c r="B31" s="121"/>
      <c r="C31" s="121"/>
    </row>
    <row r="32" spans="1:14">
      <c r="A32" s="153"/>
    </row>
    <row r="33" spans="1:8">
      <c r="A33" s="153"/>
    </row>
    <row r="34" spans="1:8">
      <c r="A34" s="153"/>
    </row>
    <row r="35" spans="1:8">
      <c r="A35" s="153"/>
    </row>
    <row r="36" spans="1:8" ht="13.5" thickBot="1">
      <c r="A36" s="153"/>
      <c r="H36" s="117">
        <f>SUM(H18:H34)</f>
        <v>7300</v>
      </c>
    </row>
    <row r="37" spans="1:8" ht="13.5" thickTop="1">
      <c r="A37" s="153"/>
    </row>
    <row r="38" spans="1:8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Seven Thousand Three Hundred and NO/100 -----------</v>
      </c>
      <c r="C38" s="202"/>
      <c r="D38" s="119"/>
      <c r="E38" s="119"/>
      <c r="F38" s="119"/>
      <c r="G38" s="119"/>
      <c r="H38" s="119"/>
    </row>
    <row r="39" spans="1:8">
      <c r="A39" s="120" t="s">
        <v>11</v>
      </c>
    </row>
    <row r="40" spans="1:8" ht="25.5">
      <c r="A40" s="126" t="s">
        <v>10</v>
      </c>
      <c r="F40" s="265" t="s">
        <v>2894</v>
      </c>
      <c r="G40" s="266"/>
      <c r="H40" s="267"/>
    </row>
    <row r="43" spans="1:8">
      <c r="D43" s="121"/>
      <c r="E43" s="121"/>
    </row>
    <row r="44" spans="1:8">
      <c r="A44" s="122"/>
      <c r="B44" s="122"/>
      <c r="C44" s="433"/>
      <c r="D44" s="433"/>
    </row>
    <row r="45" spans="1:8">
      <c r="D45" s="433"/>
    </row>
    <row r="46" spans="1:8">
      <c r="A46" s="123" t="s">
        <v>8</v>
      </c>
      <c r="D46" s="123" t="s">
        <v>8</v>
      </c>
      <c r="F46" s="123" t="s">
        <v>7</v>
      </c>
      <c r="H46" s="124"/>
    </row>
    <row r="50" spans="1:8">
      <c r="A50" s="122"/>
      <c r="B50" s="122"/>
      <c r="C50" s="433"/>
      <c r="D50" s="122"/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D52" s="433"/>
      <c r="F52" s="111" t="s">
        <v>2</v>
      </c>
    </row>
    <row r="53" spans="1:8">
      <c r="D53" s="433"/>
    </row>
    <row r="54" spans="1:8">
      <c r="D54" s="433"/>
      <c r="F54" s="2" t="s">
        <v>1</v>
      </c>
    </row>
    <row r="55" spans="1:8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 codeName="Sheet403">
    <pageSetUpPr fitToPage="1"/>
  </sheetPr>
  <dimension ref="A1:H54"/>
  <sheetViews>
    <sheetView topLeftCell="A4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0.7109375" style="1" customWidth="1"/>
    <col min="4" max="4" width="23" style="1" customWidth="1"/>
    <col min="5" max="5" width="1.28515625" style="1" customWidth="1"/>
    <col min="6" max="6" width="15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 t="s">
        <v>3643</v>
      </c>
      <c r="B9" s="111"/>
      <c r="C9" s="111"/>
      <c r="D9" s="111"/>
      <c r="E9" s="111"/>
      <c r="F9" s="112" t="s">
        <v>1127</v>
      </c>
      <c r="G9" s="111" t="s">
        <v>4823</v>
      </c>
      <c r="H9" s="111"/>
    </row>
    <row r="10" spans="1:8">
      <c r="A10" s="111" t="s">
        <v>4826</v>
      </c>
      <c r="B10" s="111"/>
      <c r="C10" s="111"/>
      <c r="D10" s="111"/>
      <c r="E10" s="111"/>
      <c r="F10" s="112" t="s">
        <v>1162</v>
      </c>
      <c r="G10" s="166" t="s">
        <v>4780</v>
      </c>
      <c r="H10" s="111"/>
    </row>
    <row r="11" spans="1:8">
      <c r="A11" s="111" t="s">
        <v>4827</v>
      </c>
      <c r="B11" s="111"/>
      <c r="C11" s="111"/>
      <c r="D11" s="111"/>
      <c r="E11" s="111"/>
      <c r="F11" s="112" t="s">
        <v>1163</v>
      </c>
      <c r="G11" s="112" t="s">
        <v>2023</v>
      </c>
      <c r="H11" s="111"/>
    </row>
    <row r="12" spans="1:8">
      <c r="A12" s="111" t="s">
        <v>4828</v>
      </c>
      <c r="B12" s="111"/>
      <c r="C12" s="111"/>
      <c r="D12" s="111"/>
      <c r="E12" s="111"/>
      <c r="F12" s="112" t="s">
        <v>1096</v>
      </c>
      <c r="G12" s="111" t="s">
        <v>1270</v>
      </c>
      <c r="H12" s="111"/>
    </row>
    <row r="13" spans="1:8">
      <c r="A13" s="111"/>
      <c r="B13" s="111"/>
      <c r="C13" s="111"/>
      <c r="D13" s="111"/>
      <c r="E13" s="111"/>
      <c r="F13" s="111"/>
      <c r="G13" s="11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2" t="s">
        <v>3644</v>
      </c>
      <c r="E18" s="2"/>
      <c r="F18" s="111"/>
      <c r="G18" s="111"/>
      <c r="H18" s="111"/>
    </row>
    <row r="19" spans="1:8">
      <c r="B19" s="116"/>
      <c r="C19" s="116"/>
      <c r="D19" s="111"/>
      <c r="E19" s="111"/>
      <c r="F19" s="111"/>
      <c r="G19" s="111"/>
      <c r="H19" s="111"/>
    </row>
    <row r="20" spans="1:8">
      <c r="A20" s="116" t="s">
        <v>4824</v>
      </c>
      <c r="B20" s="121" t="s">
        <v>4825</v>
      </c>
      <c r="C20" s="121"/>
      <c r="D20" s="111" t="s">
        <v>4829</v>
      </c>
      <c r="E20" s="111"/>
      <c r="F20" s="111"/>
      <c r="G20" s="111"/>
      <c r="H20" s="111">
        <f>25000000*0.000305</f>
        <v>7625</v>
      </c>
    </row>
    <row r="21" spans="1:8">
      <c r="A21" s="112"/>
      <c r="B21" s="111"/>
      <c r="C21" s="111"/>
      <c r="D21" s="111"/>
      <c r="E21" s="111"/>
      <c r="F21" s="111"/>
      <c r="G21" s="111"/>
      <c r="H21" s="111"/>
    </row>
    <row r="22" spans="1:8">
      <c r="A22" s="111"/>
      <c r="B22" s="111"/>
      <c r="C22" s="111"/>
      <c r="D22" s="111" t="s">
        <v>2831</v>
      </c>
      <c r="E22" s="111"/>
      <c r="F22" s="111"/>
      <c r="G22" s="111"/>
      <c r="H22" s="111">
        <v>20</v>
      </c>
    </row>
    <row r="23" spans="1:8">
      <c r="A23" s="111"/>
      <c r="B23" s="111"/>
      <c r="C23" s="111"/>
      <c r="D23" s="111"/>
      <c r="E23" s="111"/>
      <c r="F23" s="111"/>
      <c r="G23" s="111"/>
      <c r="H23" s="111"/>
    </row>
    <row r="24" spans="1:8">
      <c r="A24" s="111"/>
      <c r="B24" s="111"/>
      <c r="C24" s="111"/>
      <c r="D24" s="111" t="s">
        <v>1814</v>
      </c>
      <c r="E24" s="111"/>
      <c r="F24" s="111"/>
      <c r="G24" s="111"/>
      <c r="H24" s="111">
        <f>H22*6%</f>
        <v>1.2</v>
      </c>
    </row>
    <row r="25" spans="1:8">
      <c r="A25" s="111"/>
      <c r="B25" s="111"/>
      <c r="C25" s="111"/>
      <c r="D25" s="111"/>
      <c r="E25" s="111"/>
      <c r="F25" s="111"/>
      <c r="G25" s="111"/>
      <c r="H25" s="111"/>
    </row>
    <row r="26" spans="1:8">
      <c r="A26" s="111"/>
      <c r="B26" s="111"/>
      <c r="C26" s="111"/>
      <c r="D26" s="111"/>
      <c r="E26" s="111"/>
      <c r="F26" s="111"/>
      <c r="G26" s="111"/>
      <c r="H26" s="111"/>
    </row>
    <row r="27" spans="1:8">
      <c r="A27" s="111"/>
      <c r="B27" s="111"/>
      <c r="C27" s="111"/>
      <c r="D27" s="111"/>
      <c r="E27" s="111"/>
    </row>
    <row r="28" spans="1:8">
      <c r="A28" s="111"/>
      <c r="B28" s="111"/>
      <c r="C28" s="111"/>
      <c r="D28" s="111"/>
      <c r="E28" s="111"/>
      <c r="F28" s="111"/>
      <c r="G28" s="111"/>
      <c r="H28" s="111"/>
    </row>
    <row r="29" spans="1:8">
      <c r="A29" s="111"/>
      <c r="B29" s="111"/>
      <c r="C29" s="111"/>
      <c r="D29" s="111"/>
      <c r="E29" s="111"/>
      <c r="F29" s="111"/>
      <c r="G29" s="111"/>
      <c r="H29" s="111"/>
    </row>
    <row r="30" spans="1:8">
      <c r="A30" s="111"/>
      <c r="B30" s="111"/>
      <c r="C30" s="111"/>
      <c r="D30" s="111"/>
      <c r="E30" s="111"/>
      <c r="F30" s="111"/>
      <c r="G30" s="111"/>
      <c r="H30" s="111"/>
    </row>
    <row r="31" spans="1:8">
      <c r="A31" s="111"/>
      <c r="B31" s="111"/>
      <c r="C31" s="111"/>
      <c r="D31" s="111"/>
      <c r="E31" s="111"/>
      <c r="F31" s="111"/>
      <c r="G31" s="111"/>
      <c r="H31" s="111"/>
    </row>
    <row r="32" spans="1:8">
      <c r="A32" s="111"/>
      <c r="B32" s="111"/>
      <c r="C32" s="111"/>
      <c r="D32" s="111"/>
      <c r="E32" s="111"/>
      <c r="F32" s="111"/>
      <c r="G32" s="111"/>
    </row>
    <row r="33" spans="1:8" ht="13.5" thickBot="1">
      <c r="A33" s="111"/>
      <c r="B33" s="111"/>
      <c r="C33" s="111"/>
      <c r="D33" s="111"/>
      <c r="E33" s="111"/>
      <c r="F33" s="111"/>
      <c r="G33" s="111"/>
      <c r="H33" s="117">
        <f>SUM(H20:H32)</f>
        <v>7646.2</v>
      </c>
    </row>
    <row r="34" spans="1:8" ht="13.5" thickTop="1">
      <c r="A34" s="111"/>
      <c r="B34" s="111"/>
      <c r="C34" s="111"/>
      <c r="D34" s="111"/>
      <c r="E34" s="111"/>
      <c r="F34" s="111"/>
      <c r="G34" s="111"/>
      <c r="H34" s="111"/>
    </row>
    <row r="35" spans="1:8" ht="20.100000000000001" customHeight="1">
      <c r="A35" s="118" t="s">
        <v>1133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Seven Thousand Six Hundred Forty-Six and 20/100 -----------</v>
      </c>
      <c r="C35" s="202"/>
      <c r="D35" s="119"/>
      <c r="E35" s="119"/>
      <c r="F35" s="119"/>
      <c r="G35" s="119"/>
      <c r="H35" s="119"/>
    </row>
    <row r="36" spans="1:8">
      <c r="A36" s="120" t="s">
        <v>11</v>
      </c>
      <c r="B36" s="111"/>
      <c r="C36" s="111"/>
      <c r="D36" s="111"/>
      <c r="E36" s="111"/>
      <c r="F36" s="111"/>
      <c r="G36" s="111"/>
      <c r="H36" s="111"/>
    </row>
    <row r="37" spans="1:8" ht="25.5">
      <c r="A37" s="111" t="s">
        <v>10</v>
      </c>
      <c r="B37" s="111"/>
      <c r="C37" s="111"/>
      <c r="D37" s="111"/>
      <c r="E37" s="111"/>
      <c r="F37" s="265" t="s">
        <v>2894</v>
      </c>
      <c r="G37" s="266"/>
      <c r="H37" s="267"/>
    </row>
    <row r="38" spans="1:8">
      <c r="A38" s="111"/>
      <c r="B38" s="111"/>
      <c r="C38" s="111"/>
      <c r="D38" s="111"/>
      <c r="E38" s="111"/>
      <c r="F38" s="111"/>
      <c r="G38" s="111"/>
      <c r="H38" s="111"/>
    </row>
    <row r="39" spans="1:8">
      <c r="A39" s="126"/>
      <c r="B39" s="111"/>
      <c r="C39" s="111"/>
      <c r="D39" s="111"/>
      <c r="E39" s="111"/>
    </row>
    <row r="40" spans="1:8">
      <c r="A40" s="111"/>
      <c r="B40" s="111"/>
      <c r="C40" s="111"/>
      <c r="D40" s="121"/>
      <c r="E40" s="121"/>
      <c r="F40" s="111"/>
      <c r="G40" s="111"/>
      <c r="H40" s="111"/>
    </row>
    <row r="41" spans="1:8">
      <c r="A41" s="122"/>
      <c r="B41" s="122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3" t="s">
        <v>8</v>
      </c>
      <c r="B43" s="111"/>
      <c r="C43" s="111"/>
      <c r="D43" s="123" t="s">
        <v>8</v>
      </c>
      <c r="E43" s="111"/>
      <c r="F43" s="123" t="s">
        <v>7</v>
      </c>
      <c r="G43" s="111"/>
      <c r="H43" s="124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11"/>
      <c r="B45" s="111"/>
      <c r="C45" s="111"/>
      <c r="D45" s="111"/>
      <c r="E45" s="111"/>
      <c r="F45" s="111"/>
      <c r="G45" s="111"/>
      <c r="H45" s="111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22"/>
      <c r="B47" s="122"/>
      <c r="C47" s="111"/>
      <c r="D47" s="122"/>
      <c r="E47" s="111"/>
      <c r="F47" s="122"/>
      <c r="G47" s="122"/>
      <c r="H47" s="122"/>
    </row>
    <row r="48" spans="1:8" s="3" customFormat="1" ht="17.100000000000001" customHeight="1">
      <c r="A48" s="151" t="s">
        <v>2948</v>
      </c>
      <c r="B48" s="125"/>
      <c r="C48" s="125"/>
      <c r="D48" s="151" t="s">
        <v>103</v>
      </c>
      <c r="E48" s="126"/>
      <c r="F48" s="126" t="s">
        <v>3</v>
      </c>
      <c r="G48" s="126"/>
      <c r="H48" s="126"/>
    </row>
    <row r="49" spans="1:8">
      <c r="A49" s="111"/>
      <c r="B49" s="111"/>
      <c r="C49" s="111"/>
      <c r="D49" s="111"/>
      <c r="E49" s="111"/>
      <c r="F49" s="111" t="s">
        <v>2</v>
      </c>
      <c r="G49" s="111"/>
      <c r="H49" s="111"/>
    </row>
    <row r="50" spans="1:8">
      <c r="A50" s="151"/>
      <c r="B50" s="111"/>
      <c r="C50" s="111"/>
      <c r="D50" s="111"/>
      <c r="E50" s="111"/>
      <c r="F50" s="111"/>
      <c r="G50" s="111"/>
      <c r="H50" s="111"/>
    </row>
    <row r="51" spans="1:8">
      <c r="A51" s="111"/>
      <c r="B51" s="111"/>
      <c r="C51" s="111"/>
      <c r="D51" s="111"/>
      <c r="E51" s="111"/>
      <c r="F51" s="2" t="s">
        <v>1</v>
      </c>
      <c r="G51" s="111"/>
      <c r="H51" s="111"/>
    </row>
    <row r="52" spans="1:8">
      <c r="A52" s="111"/>
      <c r="B52" s="111"/>
      <c r="C52" s="111"/>
      <c r="D52" s="111"/>
      <c r="E52" s="111"/>
      <c r="F52" s="2" t="s">
        <v>0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sheetPr codeName="Sheet404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 t="s">
        <v>3647</v>
      </c>
      <c r="B9" s="111"/>
      <c r="C9" s="111"/>
      <c r="D9" s="112" t="s">
        <v>1127</v>
      </c>
      <c r="E9" s="111" t="s">
        <v>3645</v>
      </c>
      <c r="F9" s="111"/>
    </row>
    <row r="10" spans="1:6">
      <c r="A10" s="111" t="s">
        <v>3648</v>
      </c>
      <c r="B10" s="111"/>
      <c r="C10" s="111"/>
      <c r="D10" s="112" t="s">
        <v>1162</v>
      </c>
      <c r="E10" s="166" t="s">
        <v>3646</v>
      </c>
      <c r="F10" s="111"/>
    </row>
    <row r="11" spans="1:6">
      <c r="A11" s="111" t="s">
        <v>3649</v>
      </c>
      <c r="B11" s="111"/>
      <c r="C11" s="111"/>
      <c r="D11" s="112" t="s">
        <v>1163</v>
      </c>
      <c r="E11" s="112" t="s">
        <v>2023</v>
      </c>
      <c r="F11" s="111"/>
    </row>
    <row r="12" spans="1:6">
      <c r="A12" s="111"/>
      <c r="B12" s="111"/>
      <c r="C12" s="111"/>
      <c r="D12" s="112" t="s">
        <v>1096</v>
      </c>
      <c r="E12" s="111" t="s">
        <v>1270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2" t="s">
        <v>3650</v>
      </c>
      <c r="D18" s="111"/>
      <c r="E18" s="111"/>
      <c r="F18" s="111"/>
    </row>
    <row r="19" spans="1:6">
      <c r="B19" s="116"/>
      <c r="C19" s="2"/>
      <c r="D19" s="111"/>
      <c r="E19" s="111"/>
      <c r="F19" s="111"/>
    </row>
    <row r="20" spans="1:6">
      <c r="A20" s="116" t="s">
        <v>3651</v>
      </c>
      <c r="B20" s="116" t="s">
        <v>3652</v>
      </c>
      <c r="C20" s="111" t="s">
        <v>3653</v>
      </c>
      <c r="D20" s="111"/>
      <c r="E20" s="111"/>
      <c r="F20" s="111">
        <f>50000000*0.0326/100</f>
        <v>16299.999999999998</v>
      </c>
    </row>
    <row r="21" spans="1:6">
      <c r="A21" s="112"/>
      <c r="B21" s="111"/>
      <c r="C21" s="111"/>
      <c r="D21" s="111"/>
      <c r="E21" s="111"/>
      <c r="F21" s="111"/>
    </row>
    <row r="22" spans="1:6">
      <c r="A22" s="111"/>
      <c r="B22" s="111"/>
      <c r="C22" s="111" t="s">
        <v>1697</v>
      </c>
      <c r="D22" s="111"/>
      <c r="E22" s="111"/>
      <c r="F22" s="111">
        <v>20</v>
      </c>
    </row>
    <row r="23" spans="1:6">
      <c r="A23" s="111"/>
      <c r="B23" s="111"/>
      <c r="C23" s="111"/>
      <c r="D23" s="111"/>
      <c r="E23" s="111"/>
      <c r="F23" s="111"/>
    </row>
    <row r="24" spans="1:6">
      <c r="A24" s="111"/>
      <c r="B24" s="111"/>
      <c r="C24" s="111" t="s">
        <v>1814</v>
      </c>
      <c r="D24" s="111"/>
      <c r="E24" s="111"/>
      <c r="F24" s="111">
        <f>F22*6%</f>
        <v>1.2</v>
      </c>
    </row>
    <row r="25" spans="1:6">
      <c r="A25" s="111"/>
      <c r="B25" s="111"/>
      <c r="C25" s="111"/>
      <c r="D25" s="111"/>
      <c r="E25" s="111"/>
      <c r="F25" s="111"/>
    </row>
    <row r="26" spans="1:6">
      <c r="A26" s="111"/>
      <c r="B26" s="111"/>
      <c r="C26" s="167" t="s">
        <v>3654</v>
      </c>
      <c r="D26" s="111"/>
      <c r="E26" s="111"/>
      <c r="F26" s="111"/>
    </row>
    <row r="27" spans="1:6">
      <c r="A27" s="111"/>
      <c r="B27" s="111"/>
      <c r="C27" s="111"/>
    </row>
    <row r="28" spans="1:6">
      <c r="A28" s="111"/>
      <c r="B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16321.199999999999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Sixteen Thousand Three Hundred Twenty-One and 20/100 -----------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 ht="25.5">
      <c r="A37" s="111" t="s">
        <v>10</v>
      </c>
      <c r="B37" s="111"/>
      <c r="C37" s="111"/>
      <c r="D37" s="265" t="s">
        <v>2894</v>
      </c>
      <c r="E37" s="266"/>
      <c r="F37" s="267"/>
    </row>
    <row r="38" spans="1:6">
      <c r="A38" s="111"/>
      <c r="B38" s="111"/>
      <c r="C38" s="111"/>
      <c r="D38" s="111"/>
      <c r="E38" s="111"/>
      <c r="F38" s="111"/>
    </row>
    <row r="39" spans="1:6">
      <c r="A39" s="126"/>
      <c r="B39" s="111"/>
      <c r="C39" s="111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51" t="s">
        <v>2948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/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sheetPr codeName="Sheet405">
    <pageSetUpPr fitToPage="1"/>
  </sheetPr>
  <dimension ref="A1:G58"/>
  <sheetViews>
    <sheetView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7.28515625" style="227" customWidth="1"/>
    <col min="3" max="3" width="21" style="227" customWidth="1"/>
    <col min="4" max="4" width="16.42578125" style="227" customWidth="1"/>
    <col min="5" max="5" width="8.7109375" style="227" customWidth="1"/>
    <col min="6" max="6" width="13.28515625" style="227" customWidth="1"/>
    <col min="7" max="7" width="16.140625" style="209" customWidth="1"/>
    <col min="8" max="16384" width="9.140625" style="209"/>
  </cols>
  <sheetData>
    <row r="1" spans="1:7" ht="15" customHeight="1">
      <c r="A1" s="531" t="s">
        <v>26</v>
      </c>
      <c r="B1" s="531"/>
      <c r="C1" s="531"/>
      <c r="D1" s="531"/>
      <c r="E1" s="531"/>
      <c r="F1" s="531"/>
    </row>
    <row r="2" spans="1:7" ht="12.75" customHeight="1">
      <c r="A2" s="532" t="s">
        <v>25</v>
      </c>
      <c r="B2" s="532"/>
      <c r="C2" s="532"/>
      <c r="D2" s="532"/>
      <c r="E2" s="532"/>
      <c r="F2" s="532"/>
    </row>
    <row r="3" spans="1:7" ht="12.75" customHeight="1">
      <c r="A3" s="532" t="s">
        <v>1480</v>
      </c>
      <c r="B3" s="532"/>
      <c r="C3" s="532"/>
      <c r="D3" s="532"/>
      <c r="E3" s="532"/>
      <c r="F3" s="532"/>
    </row>
    <row r="4" spans="1:7" ht="12.75" customHeight="1">
      <c r="A4" s="532" t="s">
        <v>1684</v>
      </c>
      <c r="B4" s="532"/>
      <c r="C4" s="532"/>
      <c r="D4" s="532"/>
      <c r="E4" s="532"/>
      <c r="F4" s="532"/>
    </row>
    <row r="5" spans="1:7" ht="12.75" customHeight="1">
      <c r="A5" s="131"/>
      <c r="B5" s="131"/>
      <c r="C5" s="131"/>
      <c r="D5" s="131"/>
      <c r="E5" s="131"/>
      <c r="F5" s="131"/>
    </row>
    <row r="6" spans="1:7" ht="12.75" customHeight="1">
      <c r="A6" s="131"/>
      <c r="B6" s="131"/>
      <c r="C6" s="131"/>
      <c r="D6" s="131"/>
      <c r="E6" s="131"/>
      <c r="F6" s="131"/>
    </row>
    <row r="7" spans="1:7" ht="12.75" customHeight="1">
      <c r="A7" s="131"/>
      <c r="B7" s="131"/>
      <c r="C7" s="131"/>
      <c r="D7" s="131"/>
      <c r="E7" s="131"/>
      <c r="F7" s="131"/>
    </row>
    <row r="8" spans="1:7" s="228" customFormat="1" ht="12.75" customHeight="1">
      <c r="A8" s="147" t="s">
        <v>24</v>
      </c>
      <c r="B8" s="147"/>
      <c r="C8" s="147"/>
      <c r="D8" s="210" t="s">
        <v>23</v>
      </c>
      <c r="E8" s="147"/>
      <c r="F8" s="147"/>
    </row>
    <row r="9" spans="1:7" s="228" customFormat="1" ht="12.75" customHeight="1">
      <c r="A9" s="147"/>
      <c r="B9" s="147"/>
      <c r="C9" s="147"/>
      <c r="D9" s="212" t="s">
        <v>1723</v>
      </c>
      <c r="E9" s="111" t="s">
        <v>4101</v>
      </c>
      <c r="F9" s="147"/>
    </row>
    <row r="10" spans="1:7" s="228" customFormat="1" ht="12.75" customHeight="1">
      <c r="A10" s="147" t="s">
        <v>3704</v>
      </c>
      <c r="B10" s="147"/>
      <c r="C10" s="147"/>
      <c r="D10" s="212" t="s">
        <v>1340</v>
      </c>
      <c r="E10" s="112" t="s">
        <v>4093</v>
      </c>
      <c r="F10" s="147"/>
    </row>
    <row r="11" spans="1:7" s="228" customFormat="1" ht="12.75" customHeight="1">
      <c r="A11" s="147" t="s">
        <v>3705</v>
      </c>
      <c r="B11" s="147"/>
      <c r="C11" s="147"/>
      <c r="D11" s="212" t="s">
        <v>1341</v>
      </c>
      <c r="E11" s="112" t="s">
        <v>1094</v>
      </c>
      <c r="F11" s="147"/>
    </row>
    <row r="12" spans="1:7" s="228" customFormat="1" ht="12.75" customHeight="1">
      <c r="A12" s="147" t="s">
        <v>3706</v>
      </c>
      <c r="B12" s="147"/>
      <c r="C12" s="147"/>
      <c r="D12" s="212" t="s">
        <v>1135</v>
      </c>
      <c r="E12" s="120" t="s">
        <v>4102</v>
      </c>
      <c r="F12" s="147"/>
    </row>
    <row r="13" spans="1:7" s="228" customFormat="1" ht="12.75" customHeight="1">
      <c r="A13" s="147" t="s">
        <v>3707</v>
      </c>
      <c r="B13" s="147"/>
      <c r="C13" s="147"/>
      <c r="D13" s="147"/>
      <c r="E13" s="147"/>
      <c r="F13" s="147"/>
    </row>
    <row r="14" spans="1:7" s="228" customFormat="1" ht="12.75" customHeight="1">
      <c r="A14" s="147"/>
      <c r="B14" s="147"/>
      <c r="C14" s="147"/>
      <c r="D14" s="147"/>
      <c r="E14" s="147"/>
      <c r="F14" s="147"/>
    </row>
    <row r="15" spans="1:7" s="323" customFormat="1" ht="12.75" customHeight="1">
      <c r="A15" s="147"/>
      <c r="B15" s="147"/>
      <c r="C15" s="147"/>
      <c r="D15" s="147"/>
      <c r="E15" s="147"/>
      <c r="F15" s="147"/>
    </row>
    <row r="16" spans="1:7" s="323" customFormat="1" ht="23.25" customHeight="1">
      <c r="A16" s="91" t="s">
        <v>1122</v>
      </c>
      <c r="B16" s="91" t="s">
        <v>1098</v>
      </c>
      <c r="C16" s="92" t="s">
        <v>14</v>
      </c>
      <c r="D16" s="90"/>
      <c r="E16" s="91"/>
      <c r="F16" s="94" t="s">
        <v>13</v>
      </c>
      <c r="G16" s="324"/>
    </row>
    <row r="17" spans="1:7" s="323" customFormat="1" ht="12.75" customHeight="1">
      <c r="A17" s="325"/>
      <c r="B17" s="294"/>
      <c r="C17" s="295"/>
      <c r="D17" s="294"/>
      <c r="E17" s="326"/>
      <c r="F17" s="297"/>
      <c r="G17" s="324"/>
    </row>
    <row r="18" spans="1:7" s="228" customFormat="1" ht="12.75" customHeight="1">
      <c r="A18" s="220"/>
      <c r="B18" s="145"/>
      <c r="C18" s="95" t="s">
        <v>3650</v>
      </c>
      <c r="D18" s="147"/>
      <c r="E18" s="147"/>
      <c r="F18" s="147"/>
      <c r="G18" s="109"/>
    </row>
    <row r="19" spans="1:7" s="228" customFormat="1" ht="12.75" customHeight="1">
      <c r="C19" s="95"/>
      <c r="E19" s="147"/>
      <c r="F19" s="147"/>
      <c r="G19" s="109"/>
    </row>
    <row r="20" spans="1:7" s="228" customFormat="1" ht="12.75" customHeight="1">
      <c r="A20" s="222" t="s">
        <v>4002</v>
      </c>
      <c r="B20" s="281" t="s">
        <v>4103</v>
      </c>
      <c r="C20" s="147" t="s">
        <v>3708</v>
      </c>
      <c r="D20" s="147"/>
      <c r="E20" s="147"/>
      <c r="F20" s="147">
        <v>700</v>
      </c>
      <c r="G20" s="109"/>
    </row>
    <row r="21" spans="1:7" s="228" customFormat="1" ht="12.75" customHeight="1">
      <c r="A21" s="225"/>
      <c r="B21" s="145"/>
      <c r="C21" s="147" t="s">
        <v>4104</v>
      </c>
      <c r="D21" s="147"/>
      <c r="E21" s="147"/>
      <c r="F21" s="147"/>
      <c r="G21" s="109"/>
    </row>
    <row r="22" spans="1:7" s="228" customFormat="1" ht="12.75" customHeight="1">
      <c r="A22" s="220"/>
      <c r="C22" s="147" t="s">
        <v>1814</v>
      </c>
      <c r="F22" s="147">
        <f>F20*6%</f>
        <v>42</v>
      </c>
      <c r="G22" s="109"/>
    </row>
    <row r="23" spans="1:7" s="228" customFormat="1" ht="12.75" customHeight="1">
      <c r="A23" s="225"/>
      <c r="B23" s="145"/>
      <c r="C23" s="147"/>
      <c r="D23" s="147"/>
      <c r="E23" s="147"/>
      <c r="F23" s="147"/>
      <c r="G23" s="109"/>
    </row>
    <row r="24" spans="1:7" s="228" customFormat="1" ht="12.75" customHeight="1">
      <c r="A24" s="222" t="s">
        <v>4002</v>
      </c>
      <c r="B24" s="281" t="s">
        <v>4105</v>
      </c>
      <c r="C24" s="147" t="s">
        <v>3708</v>
      </c>
      <c r="D24" s="147"/>
      <c r="E24" s="147"/>
      <c r="F24" s="147">
        <v>700</v>
      </c>
      <c r="G24" s="109"/>
    </row>
    <row r="25" spans="1:7" s="228" customFormat="1" ht="12.75" customHeight="1">
      <c r="A25" s="225"/>
      <c r="B25" s="145"/>
      <c r="C25" s="147" t="s">
        <v>4106</v>
      </c>
      <c r="D25" s="147"/>
      <c r="E25" s="147"/>
      <c r="F25" s="147"/>
      <c r="G25" s="109"/>
    </row>
    <row r="26" spans="1:7" s="228" customFormat="1" ht="12.75" customHeight="1">
      <c r="A26" s="220"/>
      <c r="C26" s="147" t="s">
        <v>1814</v>
      </c>
      <c r="F26" s="147">
        <f>F24*6%</f>
        <v>42</v>
      </c>
      <c r="G26" s="109"/>
    </row>
    <row r="27" spans="1:7" s="228" customFormat="1" ht="12.75" customHeight="1">
      <c r="A27" s="225"/>
      <c r="B27" s="145"/>
      <c r="C27" s="147"/>
      <c r="D27" s="147"/>
      <c r="E27" s="147"/>
      <c r="F27" s="147"/>
      <c r="G27" s="109"/>
    </row>
    <row r="28" spans="1:7" s="228" customFormat="1" ht="12.75" customHeight="1">
      <c r="A28" s="222" t="s">
        <v>4047</v>
      </c>
      <c r="B28" s="281" t="s">
        <v>4107</v>
      </c>
      <c r="C28" s="147" t="s">
        <v>3708</v>
      </c>
      <c r="D28" s="147"/>
      <c r="E28" s="147"/>
      <c r="F28" s="147">
        <v>700</v>
      </c>
      <c r="G28" s="109"/>
    </row>
    <row r="29" spans="1:7" s="301" customFormat="1" ht="12.75" customHeight="1">
      <c r="A29" s="225"/>
      <c r="B29" s="145"/>
      <c r="C29" s="147" t="s">
        <v>4108</v>
      </c>
      <c r="D29" s="147"/>
      <c r="E29" s="147"/>
      <c r="F29" s="147"/>
    </row>
    <row r="30" spans="1:7" s="301" customFormat="1" ht="12.75" customHeight="1">
      <c r="A30" s="220"/>
      <c r="B30" s="228"/>
      <c r="C30" s="147" t="s">
        <v>1814</v>
      </c>
      <c r="D30" s="228"/>
      <c r="E30" s="228"/>
      <c r="F30" s="147">
        <f>F28*6%</f>
        <v>42</v>
      </c>
    </row>
    <row r="31" spans="1:7" s="301" customFormat="1" ht="12.75" customHeight="1">
      <c r="A31" s="131"/>
      <c r="B31" s="131"/>
      <c r="C31" s="147"/>
      <c r="D31" s="131"/>
      <c r="E31" s="131"/>
      <c r="F31" s="131"/>
    </row>
    <row r="32" spans="1:7" s="228" customFormat="1" ht="12.75" customHeight="1">
      <c r="A32" s="222" t="s">
        <v>4072</v>
      </c>
      <c r="B32" s="281" t="s">
        <v>4109</v>
      </c>
      <c r="C32" s="147" t="s">
        <v>3708</v>
      </c>
      <c r="D32" s="147"/>
      <c r="E32" s="147"/>
      <c r="F32" s="147">
        <v>700</v>
      </c>
      <c r="G32" s="109"/>
    </row>
    <row r="33" spans="1:7" s="228" customFormat="1" ht="12.75" customHeight="1">
      <c r="A33" s="225"/>
      <c r="B33" s="145"/>
      <c r="C33" s="147" t="s">
        <v>4110</v>
      </c>
      <c r="D33" s="147"/>
      <c r="E33" s="147"/>
      <c r="F33" s="147"/>
      <c r="G33" s="109"/>
    </row>
    <row r="34" spans="1:7" s="228" customFormat="1" ht="12.75" customHeight="1">
      <c r="A34" s="220"/>
      <c r="C34" s="147" t="s">
        <v>1814</v>
      </c>
      <c r="F34" s="147">
        <f>F32*6%</f>
        <v>42</v>
      </c>
      <c r="G34" s="109"/>
    </row>
    <row r="35" spans="1:7" s="228" customFormat="1" ht="15.75" customHeight="1" thickBot="1">
      <c r="A35" s="327"/>
      <c r="B35" s="147"/>
      <c r="C35" s="147"/>
      <c r="D35" s="147"/>
      <c r="E35" s="147"/>
      <c r="F35" s="328">
        <f>SUM(F18:F34)</f>
        <v>2968</v>
      </c>
      <c r="G35" s="109"/>
    </row>
    <row r="36" spans="1:7" s="228" customFormat="1" ht="12.75" customHeight="1" thickTop="1">
      <c r="A36" s="327"/>
      <c r="B36" s="147"/>
      <c r="C36" s="147"/>
      <c r="D36" s="147"/>
      <c r="E36" s="147"/>
      <c r="F36" s="147"/>
      <c r="G36" s="109"/>
    </row>
    <row r="37" spans="1:7" s="301" customFormat="1" ht="20.100000000000001" customHeight="1">
      <c r="A37" s="138" t="s">
        <v>1133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Nine Hundred Sixty-Eight and NO/100 -----------</v>
      </c>
      <c r="C37" s="139"/>
      <c r="D37" s="139"/>
      <c r="E37" s="139"/>
      <c r="F37" s="139"/>
    </row>
    <row r="38" spans="1:7" s="301" customFormat="1" ht="12.75" customHeight="1">
      <c r="A38" s="140"/>
      <c r="B38" s="131"/>
      <c r="C38" s="131"/>
      <c r="D38" s="131"/>
      <c r="E38" s="131"/>
      <c r="F38" s="131"/>
    </row>
    <row r="39" spans="1:7" s="301" customFormat="1" ht="23.25" customHeight="1">
      <c r="A39" s="131" t="s">
        <v>10</v>
      </c>
      <c r="B39" s="131"/>
      <c r="C39" s="131"/>
      <c r="D39" s="283" t="s">
        <v>2894</v>
      </c>
      <c r="E39" s="284"/>
      <c r="F39" s="285"/>
    </row>
    <row r="40" spans="1:7" s="301" customFormat="1" ht="12.75" customHeight="1">
      <c r="A40" s="131"/>
      <c r="B40" s="131"/>
      <c r="C40" s="131"/>
      <c r="D40" s="131"/>
      <c r="E40" s="131"/>
      <c r="F40" s="131"/>
    </row>
    <row r="41" spans="1:7" s="301" customFormat="1" ht="12.75" customHeight="1">
      <c r="A41" s="131"/>
      <c r="B41" s="131"/>
      <c r="C41" s="131"/>
      <c r="D41" s="131"/>
      <c r="E41" s="131"/>
      <c r="F41" s="131"/>
    </row>
    <row r="42" spans="1:7" s="301" customFormat="1" ht="12.75">
      <c r="B42" s="131"/>
      <c r="C42" s="131"/>
      <c r="D42" s="291"/>
      <c r="E42" s="291"/>
      <c r="F42" s="291"/>
    </row>
    <row r="43" spans="1:7" s="301" customFormat="1" ht="12.75">
      <c r="A43" s="143"/>
      <c r="B43" s="131"/>
      <c r="C43" s="131"/>
      <c r="D43" s="286"/>
      <c r="E43" s="287"/>
      <c r="F43" s="287"/>
    </row>
    <row r="44" spans="1:7" s="301" customFormat="1" ht="12.75" customHeight="1">
      <c r="A44" s="248"/>
      <c r="B44" s="142"/>
      <c r="C44" s="131"/>
      <c r="D44" s="131"/>
      <c r="E44" s="131"/>
      <c r="F44" s="144"/>
    </row>
    <row r="45" spans="1:7" s="301" customFormat="1" ht="12.75" customHeight="1">
      <c r="C45" s="131"/>
      <c r="D45" s="131"/>
      <c r="E45" s="131"/>
      <c r="F45" s="144"/>
    </row>
    <row r="46" spans="1:7" s="301" customFormat="1" ht="12.75" customHeight="1">
      <c r="A46" s="143" t="s">
        <v>8</v>
      </c>
      <c r="B46" s="131"/>
      <c r="C46" s="131"/>
      <c r="D46" s="143" t="s">
        <v>7</v>
      </c>
      <c r="E46" s="131"/>
      <c r="F46" s="131"/>
    </row>
    <row r="47" spans="1:7" s="301" customFormat="1" ht="12.75" customHeight="1">
      <c r="A47" s="143"/>
      <c r="B47" s="131"/>
      <c r="C47" s="131"/>
      <c r="D47" s="131"/>
      <c r="E47" s="131"/>
      <c r="F47" s="131"/>
    </row>
    <row r="48" spans="1:7" s="301" customFormat="1" ht="12.75" customHeight="1">
      <c r="A48" s="143"/>
      <c r="B48" s="131"/>
      <c r="C48" s="131"/>
      <c r="D48" s="131"/>
      <c r="E48" s="131"/>
      <c r="F48" s="131"/>
    </row>
    <row r="49" spans="1:6" s="228" customFormat="1" ht="12.75" customHeight="1">
      <c r="A49" s="143"/>
      <c r="B49" s="131"/>
      <c r="C49" s="131"/>
      <c r="D49" s="131"/>
      <c r="E49" s="147"/>
      <c r="F49" s="147"/>
    </row>
    <row r="50" spans="1:6" s="301" customFormat="1" ht="12.75" customHeight="1">
      <c r="A50" s="248"/>
      <c r="B50" s="142"/>
      <c r="C50" s="131"/>
      <c r="D50" s="142"/>
      <c r="E50" s="142"/>
      <c r="F50" s="142"/>
    </row>
    <row r="51" spans="1:6" s="301" customFormat="1" ht="12.75" customHeight="1">
      <c r="A51" s="145" t="s">
        <v>2948</v>
      </c>
      <c r="B51" s="146"/>
      <c r="C51" s="147"/>
      <c r="D51" s="147" t="s">
        <v>3</v>
      </c>
      <c r="E51" s="131"/>
      <c r="F51" s="131"/>
    </row>
    <row r="52" spans="1:6" s="301" customFormat="1" ht="12.75" customHeight="1">
      <c r="A52" s="143"/>
      <c r="B52" s="131"/>
      <c r="C52" s="131"/>
      <c r="D52" s="131" t="s">
        <v>2</v>
      </c>
      <c r="E52" s="131"/>
      <c r="F52" s="131"/>
    </row>
    <row r="53" spans="1:6" s="301" customFormat="1" ht="12.75" customHeight="1">
      <c r="A53" s="131"/>
      <c r="B53" s="131"/>
      <c r="C53" s="131"/>
      <c r="D53" s="131"/>
      <c r="E53" s="131"/>
      <c r="F53" s="131"/>
    </row>
    <row r="54" spans="1:6" s="301" customFormat="1" ht="12.75" customHeight="1">
      <c r="A54" s="131"/>
      <c r="B54" s="131"/>
      <c r="C54" s="131"/>
      <c r="D54" s="110" t="s">
        <v>1</v>
      </c>
      <c r="E54" s="131"/>
      <c r="F54" s="131"/>
    </row>
    <row r="55" spans="1:6" s="301" customFormat="1" ht="12.75" customHeight="1">
      <c r="A55" s="131"/>
      <c r="B55" s="131"/>
      <c r="C55" s="131"/>
      <c r="D55" s="110" t="s">
        <v>0</v>
      </c>
      <c r="E55" s="131"/>
      <c r="F55" s="131"/>
    </row>
    <row r="56" spans="1:6" s="301" customFormat="1" ht="12.75" customHeight="1">
      <c r="A56" s="131"/>
      <c r="B56" s="131"/>
      <c r="C56" s="131"/>
      <c r="D56" s="131"/>
      <c r="E56" s="131"/>
      <c r="F56" s="131"/>
    </row>
    <row r="57" spans="1:6" s="301" customFormat="1" ht="12.75" customHeight="1">
      <c r="A57" s="131"/>
      <c r="B57" s="131"/>
      <c r="C57" s="131"/>
      <c r="D57" s="131"/>
      <c r="E57" s="131"/>
      <c r="F57" s="131"/>
    </row>
    <row r="58" spans="1:6" s="301" customFormat="1" ht="12.75">
      <c r="A58" s="131"/>
      <c r="B58" s="131"/>
      <c r="C58" s="131"/>
      <c r="D58" s="131"/>
      <c r="E58" s="131"/>
      <c r="F58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sheetPr codeName="Sheet413">
    <pageSetUpPr fitToPage="1"/>
  </sheetPr>
  <dimension ref="A1:I52"/>
  <sheetViews>
    <sheetView workbookViewId="0">
      <selection activeCell="G9" sqref="G9:G13"/>
    </sheetView>
  </sheetViews>
  <sheetFormatPr defaultRowHeight="12.75"/>
  <cols>
    <col min="1" max="1" width="15.7109375" style="111" customWidth="1"/>
    <col min="2" max="2" width="13.85546875" style="111" customWidth="1"/>
    <col min="3" max="3" width="23" style="111" customWidth="1"/>
    <col min="4" max="4" width="12.7109375" style="111" customWidth="1"/>
    <col min="5" max="5" width="10.85546875" style="111" customWidth="1"/>
    <col min="6" max="6" width="12.855468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3712</v>
      </c>
    </row>
    <row r="10" spans="1:6">
      <c r="A10" s="111" t="s">
        <v>3714</v>
      </c>
      <c r="D10" s="112" t="s">
        <v>1162</v>
      </c>
      <c r="E10" s="123" t="s">
        <v>3709</v>
      </c>
    </row>
    <row r="11" spans="1:6">
      <c r="A11" s="111" t="s">
        <v>3715</v>
      </c>
      <c r="D11" s="112" t="s">
        <v>1163</v>
      </c>
      <c r="E11" s="112" t="s">
        <v>1094</v>
      </c>
    </row>
    <row r="12" spans="1:6">
      <c r="A12" s="111" t="s">
        <v>3716</v>
      </c>
      <c r="D12" s="112" t="s">
        <v>1169</v>
      </c>
      <c r="E12" s="120" t="s">
        <v>3713</v>
      </c>
    </row>
    <row r="13" spans="1:6">
      <c r="A13" s="111" t="s">
        <v>3717</v>
      </c>
    </row>
    <row r="14" spans="1:6">
      <c r="A14" s="111" t="s">
        <v>1287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9">
      <c r="A17" s="153"/>
    </row>
    <row r="18" spans="1:9">
      <c r="C18" s="2" t="s">
        <v>3176</v>
      </c>
    </row>
    <row r="20" spans="1:9">
      <c r="A20" s="116" t="s">
        <v>3718</v>
      </c>
      <c r="B20" s="116" t="s">
        <v>3719</v>
      </c>
      <c r="C20" s="111" t="s">
        <v>3720</v>
      </c>
      <c r="F20" s="111">
        <v>6300</v>
      </c>
      <c r="I20" s="317"/>
    </row>
    <row r="21" spans="1:9">
      <c r="A21" s="116"/>
      <c r="B21" s="116"/>
    </row>
    <row r="22" spans="1:9">
      <c r="A22" s="116"/>
      <c r="B22" s="121"/>
    </row>
    <row r="23" spans="1:9">
      <c r="A23" s="173"/>
    </row>
    <row r="24" spans="1:9">
      <c r="A24" s="116"/>
      <c r="B24" s="121"/>
    </row>
    <row r="25" spans="1:9">
      <c r="A25" s="173"/>
    </row>
    <row r="26" spans="1:9">
      <c r="A26" s="116"/>
      <c r="B26" s="121"/>
    </row>
    <row r="27" spans="1:9">
      <c r="A27" s="116"/>
      <c r="B27" s="116"/>
    </row>
    <row r="28" spans="1:9">
      <c r="A28" s="153"/>
    </row>
    <row r="29" spans="1:9">
      <c r="A29" s="153"/>
    </row>
    <row r="30" spans="1:9">
      <c r="A30" s="153"/>
    </row>
    <row r="31" spans="1:9">
      <c r="A31" s="153"/>
    </row>
    <row r="32" spans="1:9">
      <c r="A32" s="153"/>
    </row>
    <row r="33" spans="1:6" ht="13.5" thickBot="1">
      <c r="A33" s="153"/>
      <c r="F33" s="117">
        <f>SUM(F18:F32)</f>
        <v>6300</v>
      </c>
    </row>
    <row r="34" spans="1:6" ht="13.5" thickTop="1">
      <c r="A34" s="153"/>
    </row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Six Thousand Three Hundred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sheetPr codeName="Sheet414">
    <pageSetUpPr fitToPage="1"/>
  </sheetPr>
  <dimension ref="A1:I52"/>
  <sheetViews>
    <sheetView workbookViewId="0">
      <selection activeCell="G9" sqref="G9:G13"/>
    </sheetView>
  </sheetViews>
  <sheetFormatPr defaultRowHeight="12.75"/>
  <cols>
    <col min="1" max="1" width="15.7109375" style="111" customWidth="1"/>
    <col min="2" max="2" width="13.85546875" style="111" customWidth="1"/>
    <col min="3" max="3" width="23" style="111" customWidth="1"/>
    <col min="4" max="4" width="12.7109375" style="111" customWidth="1"/>
    <col min="5" max="5" width="10.85546875" style="111" customWidth="1"/>
    <col min="6" max="6" width="12.855468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3721</v>
      </c>
    </row>
    <row r="10" spans="1:6">
      <c r="A10" s="111" t="s">
        <v>3723</v>
      </c>
      <c r="D10" s="112" t="s">
        <v>1162</v>
      </c>
      <c r="E10" s="123" t="s">
        <v>3709</v>
      </c>
    </row>
    <row r="11" spans="1:6">
      <c r="A11" s="111" t="s">
        <v>3724</v>
      </c>
      <c r="D11" s="112" t="s">
        <v>1163</v>
      </c>
      <c r="E11" s="112" t="s">
        <v>1094</v>
      </c>
    </row>
    <row r="12" spans="1:6">
      <c r="A12" s="111" t="s">
        <v>3725</v>
      </c>
      <c r="D12" s="112" t="s">
        <v>1169</v>
      </c>
      <c r="E12" s="120" t="s">
        <v>3722</v>
      </c>
    </row>
    <row r="13" spans="1:6">
      <c r="A13" s="111" t="s">
        <v>3726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9">
      <c r="A17" s="153"/>
    </row>
    <row r="18" spans="1:9">
      <c r="C18" s="2" t="s">
        <v>3729</v>
      </c>
    </row>
    <row r="20" spans="1:9">
      <c r="A20" s="116" t="s">
        <v>3667</v>
      </c>
      <c r="B20" s="116" t="s">
        <v>3727</v>
      </c>
      <c r="C20" s="111" t="s">
        <v>3728</v>
      </c>
      <c r="F20" s="111">
        <f>8*9</f>
        <v>72</v>
      </c>
      <c r="I20" s="317"/>
    </row>
    <row r="21" spans="1:9">
      <c r="A21" s="116"/>
      <c r="B21" s="116"/>
    </row>
    <row r="22" spans="1:9">
      <c r="A22" s="116"/>
      <c r="B22" s="121"/>
    </row>
    <row r="23" spans="1:9">
      <c r="A23" s="173"/>
    </row>
    <row r="24" spans="1:9">
      <c r="A24" s="116"/>
      <c r="B24" s="121"/>
    </row>
    <row r="25" spans="1:9">
      <c r="A25" s="173"/>
    </row>
    <row r="26" spans="1:9">
      <c r="A26" s="116"/>
      <c r="B26" s="121"/>
    </row>
    <row r="27" spans="1:9">
      <c r="A27" s="116"/>
      <c r="B27" s="116"/>
    </row>
    <row r="28" spans="1:9">
      <c r="A28" s="153"/>
    </row>
    <row r="29" spans="1:9">
      <c r="A29" s="153"/>
    </row>
    <row r="30" spans="1:9">
      <c r="A30" s="153"/>
    </row>
    <row r="31" spans="1:9">
      <c r="A31" s="153"/>
    </row>
    <row r="32" spans="1:9">
      <c r="A32" s="153"/>
    </row>
    <row r="33" spans="1:6" ht="13.5" thickBot="1">
      <c r="A33" s="153"/>
      <c r="F33" s="117">
        <f>SUM(F18:F32)</f>
        <v>72</v>
      </c>
    </row>
    <row r="34" spans="1:6" ht="13.5" thickTop="1">
      <c r="A34" s="153"/>
    </row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Seventy-Two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sheetPr codeName="Sheet416">
    <pageSetUpPr fitToPage="1"/>
  </sheetPr>
  <dimension ref="A1:G58"/>
  <sheetViews>
    <sheetView topLeftCell="A7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4897</v>
      </c>
      <c r="F9" s="111"/>
    </row>
    <row r="10" spans="1:6">
      <c r="A10" s="111" t="s">
        <v>3740</v>
      </c>
      <c r="B10" s="111"/>
      <c r="C10" s="111"/>
      <c r="D10" s="112" t="s">
        <v>1162</v>
      </c>
      <c r="E10" s="112" t="s">
        <v>4891</v>
      </c>
      <c r="F10" s="111"/>
    </row>
    <row r="11" spans="1:6">
      <c r="A11" s="111" t="s">
        <v>3741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3742</v>
      </c>
      <c r="B12" s="111"/>
      <c r="C12" s="111"/>
      <c r="D12" s="112" t="s">
        <v>1135</v>
      </c>
      <c r="E12" s="120" t="s">
        <v>4898</v>
      </c>
      <c r="F12" s="111"/>
    </row>
    <row r="13" spans="1:6">
      <c r="A13" s="111" t="s">
        <v>3743</v>
      </c>
      <c r="B13" s="111"/>
      <c r="C13" s="111"/>
      <c r="D13" s="111"/>
      <c r="E13" s="111"/>
      <c r="F13" s="111"/>
    </row>
    <row r="14" spans="1:6">
      <c r="A14" s="111" t="s">
        <v>3744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48"/>
      <c r="B18" s="111"/>
      <c r="C18" s="2" t="s">
        <v>4899</v>
      </c>
      <c r="D18" s="111"/>
      <c r="E18" s="111"/>
      <c r="F18" s="111"/>
    </row>
    <row r="19" spans="1:7">
      <c r="A19" s="111"/>
      <c r="B19" s="111"/>
      <c r="D19" s="111"/>
      <c r="E19" s="111"/>
      <c r="F19" s="111"/>
    </row>
    <row r="20" spans="1:7">
      <c r="A20" s="116" t="s">
        <v>4892</v>
      </c>
      <c r="B20" s="120"/>
      <c r="C20" s="111" t="s">
        <v>4900</v>
      </c>
      <c r="D20" s="111"/>
      <c r="E20" s="111"/>
      <c r="F20" s="111">
        <v>849.06</v>
      </c>
    </row>
    <row r="21" spans="1:7">
      <c r="A21" s="159"/>
      <c r="B21" s="111"/>
      <c r="C21" s="120" t="s">
        <v>1814</v>
      </c>
      <c r="D21" s="111"/>
      <c r="E21" s="111"/>
      <c r="F21" s="111">
        <f>F20*6%</f>
        <v>50.943599999999996</v>
      </c>
      <c r="G21" s="111"/>
    </row>
    <row r="22" spans="1:7">
      <c r="A22" s="252"/>
      <c r="B22" s="157"/>
      <c r="C22" s="120"/>
      <c r="D22" s="111"/>
      <c r="E22" s="111"/>
      <c r="F22" s="111"/>
      <c r="G22" s="111"/>
    </row>
    <row r="23" spans="1:7">
      <c r="A23" s="148"/>
      <c r="B23" s="111"/>
      <c r="C23" s="111"/>
      <c r="D23" s="111"/>
      <c r="E23" s="111"/>
      <c r="F23" s="111"/>
      <c r="G23" s="111"/>
    </row>
    <row r="24" spans="1:7">
      <c r="A24" s="111"/>
      <c r="B24" s="111"/>
      <c r="C24" s="120"/>
      <c r="D24" s="111"/>
      <c r="E24" s="111"/>
      <c r="F24" s="111"/>
      <c r="G24" s="111"/>
    </row>
    <row r="25" spans="1:7">
      <c r="A25" s="111"/>
      <c r="B25" s="111"/>
      <c r="C25" s="120"/>
      <c r="D25" s="111"/>
      <c r="E25" s="111"/>
      <c r="F25" s="111"/>
      <c r="G25" s="111"/>
    </row>
    <row r="26" spans="1:7">
      <c r="A26" s="111"/>
      <c r="B26" s="111"/>
      <c r="C26" s="2"/>
      <c r="D26" s="111"/>
      <c r="E26" s="111"/>
      <c r="F26" s="111"/>
      <c r="G26" s="111"/>
    </row>
    <row r="27" spans="1:7">
      <c r="A27" s="111"/>
      <c r="B27" s="111"/>
      <c r="C27" s="2"/>
      <c r="D27" s="111"/>
      <c r="E27" s="111"/>
      <c r="F27" s="111"/>
      <c r="G27" s="111"/>
    </row>
    <row r="28" spans="1:7">
      <c r="A28" s="159"/>
      <c r="B28" s="111"/>
      <c r="C28" s="111"/>
      <c r="D28" s="111"/>
      <c r="E28" s="111"/>
      <c r="F28" s="111"/>
      <c r="G28" s="111"/>
    </row>
    <row r="29" spans="1:7">
      <c r="A29" s="252"/>
      <c r="B29" s="111"/>
      <c r="C29" s="111"/>
      <c r="D29" s="111"/>
      <c r="E29" s="111"/>
      <c r="F29" s="111"/>
      <c r="G29" s="111"/>
    </row>
    <row r="30" spans="1:7">
      <c r="A30" s="148"/>
      <c r="B30" s="111"/>
      <c r="C30" s="111"/>
      <c r="D30" s="111"/>
      <c r="E30" s="111"/>
      <c r="F30" s="111"/>
      <c r="G30" s="111"/>
    </row>
    <row r="31" spans="1:7">
      <c r="A31" s="111"/>
      <c r="B31" s="111"/>
      <c r="C31" s="111"/>
      <c r="D31" s="111"/>
      <c r="E31" s="111"/>
      <c r="F31" s="111"/>
    </row>
    <row r="32" spans="1:7">
      <c r="A32" s="111"/>
      <c r="B32" s="111"/>
      <c r="C32" s="111"/>
      <c r="D32" s="111"/>
      <c r="E32" s="111"/>
      <c r="F32" s="111"/>
    </row>
    <row r="33" spans="1:7">
      <c r="A33" s="111"/>
      <c r="B33" s="111"/>
      <c r="C33" s="111"/>
      <c r="D33" s="111"/>
      <c r="E33" s="111"/>
      <c r="F33" s="111"/>
    </row>
    <row r="34" spans="1:7">
      <c r="A34" s="111"/>
      <c r="B34" s="111"/>
      <c r="C34" s="111"/>
      <c r="D34" s="111"/>
      <c r="E34" s="111"/>
      <c r="F34" s="111"/>
    </row>
    <row r="35" spans="1:7">
      <c r="A35" s="148"/>
      <c r="C35" s="111"/>
      <c r="D35" s="111"/>
      <c r="E35" s="111"/>
      <c r="F35" s="111"/>
      <c r="G35" s="111"/>
    </row>
    <row r="36" spans="1:7">
      <c r="C36" s="2"/>
      <c r="D36" s="111"/>
      <c r="E36" s="111"/>
      <c r="F36" s="111"/>
      <c r="G36" s="111"/>
    </row>
    <row r="37" spans="1:7" ht="13.5" thickBot="1">
      <c r="A37" s="159"/>
      <c r="B37" s="111"/>
      <c r="C37" s="111"/>
      <c r="D37" s="111"/>
      <c r="E37" s="111"/>
      <c r="F37" s="127">
        <f>SUM(F19:F36)</f>
        <v>900.00359999999989</v>
      </c>
      <c r="G37" s="111"/>
    </row>
    <row r="38" spans="1:7" ht="13.5" thickTop="1">
      <c r="A38" s="126"/>
      <c r="B38" s="111"/>
      <c r="C38" s="111"/>
      <c r="D38" s="111"/>
      <c r="E38" s="111"/>
      <c r="F38" s="111"/>
      <c r="G38" s="111"/>
    </row>
    <row r="39" spans="1:7" ht="20.100000000000001" customHeight="1">
      <c r="A39" s="118" t="s">
        <v>1133</v>
      </c>
      <c r="B39" s="202" t="str">
        <f>IF(OR(F37&gt;1000000,F37&lt;=0),"",IF(F37&lt;1000,"",IF(MOD(F37,1000000)&gt;=100000,INDEX(numbers,TRUNC(MOD(F37,1000000)/100000,0)+1)&amp;" Hundred","")&amp;IF(MOD(F37,100000)&gt;=20000," "&amp;INDEX(tens,TRUNC(MOD(F37,100000)/10000,0)+1)&amp;IF(MOD(MOD(F37,100000),10000)&gt;=1000,"-"&amp;INDEX(numbers,TRUNC(MOD(MOD(F37,100000),10000)/1000,0)+1),""),IF(MOD(F37,100000)&gt;=1000," "&amp;INDEX(numbers,TRUNC(MOD(F37,100000)/1000,0)+1),""))&amp;" Thousand") &amp; IF(F37&lt;1,"Zero Dollars",IF(MOD(F37,1000)&gt;=100," "&amp;INDEX(numbers,TRUNC(MOD(F37,1000)/100,0)+1)&amp;" Hundred","")&amp;IF(MOD(F37,100)&gt;=20," "&amp;INDEX(tens,TRUNC(MOD(F37,100)/10,0)+1)&amp;IF(MOD(MOD(F37,100),10)&gt;=1,"-"&amp;INDEX(numbers,TRUNC(MOD(MOD(F37,100),10),0)+1),""),IF(MOD(F37,100)&gt;=1," "&amp;INDEX(numbers,TRUNC(MOD(F37,100),0)+1),""))&amp;"") &amp; " and " &amp; IF(MOD(F37,1)&lt;0.005,"NO",ROUND(MOD(F37,1)*100,0)) &amp; "/100 -----------")</f>
        <v xml:space="preserve"> Nine Hundred and NO/100 -----------</v>
      </c>
      <c r="C39" s="119"/>
      <c r="D39" s="119"/>
      <c r="E39" s="119"/>
      <c r="F39" s="119"/>
      <c r="G39" s="111"/>
    </row>
    <row r="40" spans="1:7">
      <c r="A40" s="120" t="s">
        <v>11</v>
      </c>
      <c r="B40" s="111"/>
      <c r="C40" s="111"/>
      <c r="D40" s="111"/>
      <c r="E40" s="111"/>
      <c r="F40" s="111"/>
    </row>
    <row r="41" spans="1:7" ht="25.5">
      <c r="A41" s="126" t="s">
        <v>10</v>
      </c>
      <c r="B41" s="111"/>
      <c r="C41" s="111"/>
      <c r="D41" s="265" t="s">
        <v>2894</v>
      </c>
      <c r="E41" s="266"/>
      <c r="F41" s="267"/>
    </row>
    <row r="42" spans="1:7">
      <c r="A42" s="111"/>
      <c r="B42" s="111"/>
      <c r="C42" s="111"/>
      <c r="D42" s="111"/>
      <c r="E42" s="111"/>
      <c r="F42" s="111"/>
    </row>
    <row r="43" spans="1:7">
      <c r="A43" s="151"/>
      <c r="B43" s="111"/>
      <c r="C43" s="111"/>
      <c r="D43" s="111"/>
      <c r="E43" s="111"/>
      <c r="F43" s="111"/>
    </row>
    <row r="44" spans="1:7">
      <c r="A44" s="111"/>
      <c r="B44" s="111"/>
      <c r="C44" s="121"/>
      <c r="D44" s="111"/>
      <c r="E44" s="111"/>
      <c r="F44" s="111"/>
    </row>
    <row r="45" spans="1:7">
      <c r="A45" s="122"/>
      <c r="B45" s="122"/>
      <c r="C45" s="111"/>
      <c r="D45" s="111"/>
      <c r="E45" s="111"/>
      <c r="F45" s="111"/>
    </row>
    <row r="46" spans="1:7">
      <c r="B46" s="111"/>
      <c r="C46" s="111"/>
      <c r="D46" s="111"/>
      <c r="E46" s="111"/>
      <c r="F46" s="111"/>
    </row>
    <row r="47" spans="1:7">
      <c r="A47" s="123" t="s">
        <v>8</v>
      </c>
      <c r="C47" s="111"/>
      <c r="D47" s="123" t="s">
        <v>7</v>
      </c>
      <c r="E47" s="111"/>
      <c r="F47" s="124"/>
    </row>
    <row r="48" spans="1:7">
      <c r="A48" s="111"/>
      <c r="B48" s="111"/>
      <c r="C48" s="111"/>
      <c r="D48" s="111"/>
      <c r="E48" s="111"/>
      <c r="F48" s="111"/>
    </row>
    <row r="49" spans="1:6">
      <c r="A49" s="111"/>
      <c r="B49" s="111"/>
      <c r="C49" s="111"/>
      <c r="D49" s="111"/>
      <c r="E49" s="111"/>
      <c r="F49" s="111"/>
    </row>
    <row r="50" spans="1:6">
      <c r="A50" s="111"/>
      <c r="B50" s="111"/>
      <c r="C50" s="111"/>
      <c r="D50" s="111"/>
      <c r="E50" s="111"/>
      <c r="F50" s="111"/>
    </row>
    <row r="51" spans="1:6">
      <c r="A51" s="122"/>
      <c r="B51" s="122"/>
      <c r="C51" s="111"/>
      <c r="D51" s="122"/>
      <c r="E51" s="122"/>
      <c r="F51" s="122"/>
    </row>
    <row r="52" spans="1:6" s="3" customFormat="1" ht="17.100000000000001" customHeight="1">
      <c r="A52" s="151" t="s">
        <v>2948</v>
      </c>
      <c r="B52" s="125"/>
      <c r="C52" s="126"/>
      <c r="D52" s="126" t="s">
        <v>3</v>
      </c>
      <c r="E52" s="126"/>
      <c r="F52" s="126"/>
    </row>
    <row r="53" spans="1:6">
      <c r="A53" s="111"/>
      <c r="B53" s="111"/>
      <c r="C53" s="111"/>
      <c r="D53" s="111" t="s">
        <v>2</v>
      </c>
      <c r="E53" s="111"/>
      <c r="F53" s="111"/>
    </row>
    <row r="54" spans="1:6">
      <c r="A54" s="111"/>
      <c r="B54" s="111"/>
      <c r="C54" s="111"/>
      <c r="D54" s="111"/>
      <c r="E54" s="111"/>
      <c r="F54" s="111"/>
    </row>
    <row r="55" spans="1:6">
      <c r="A55" s="111"/>
      <c r="B55" s="111"/>
      <c r="C55" s="111"/>
      <c r="D55" s="2" t="s">
        <v>1</v>
      </c>
      <c r="E55" s="111"/>
      <c r="F55" s="111"/>
    </row>
    <row r="56" spans="1:6">
      <c r="A56" s="111"/>
      <c r="B56" s="111"/>
      <c r="C56" s="111"/>
      <c r="D56" s="2" t="s">
        <v>0</v>
      </c>
      <c r="E56" s="111"/>
      <c r="F56" s="111"/>
    </row>
    <row r="57" spans="1:6">
      <c r="A57" s="111"/>
      <c r="B57" s="111"/>
      <c r="C57" s="111"/>
      <c r="D57" s="111"/>
      <c r="E57" s="111"/>
      <c r="F57" s="111"/>
    </row>
    <row r="58" spans="1:6">
      <c r="A58" s="111"/>
      <c r="B58" s="111"/>
      <c r="C58" s="111"/>
      <c r="D58" s="111"/>
      <c r="E58" s="111"/>
      <c r="F58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sheetPr codeName="Sheet435">
    <pageSetUpPr fitToPage="1"/>
  </sheetPr>
  <dimension ref="A1:G60"/>
  <sheetViews>
    <sheetView zoomScaleSheetLayoutView="100" workbookViewId="0">
      <selection activeCell="G9" sqref="G9:G13"/>
    </sheetView>
  </sheetViews>
  <sheetFormatPr defaultRowHeight="16.5"/>
  <cols>
    <col min="1" max="1" width="15.5703125" style="113" customWidth="1"/>
    <col min="2" max="2" width="17.85546875" style="113" customWidth="1"/>
    <col min="3" max="3" width="19.85546875" style="113" customWidth="1"/>
    <col min="4" max="4" width="16.42578125" style="113" customWidth="1"/>
    <col min="5" max="5" width="8.140625" style="113" customWidth="1"/>
    <col min="6" max="6" width="13.28515625" style="113" customWidth="1"/>
    <col min="7" max="7" width="16.140625" style="23" customWidth="1"/>
    <col min="8" max="16384" width="9.140625" style="23"/>
  </cols>
  <sheetData>
    <row r="1" spans="1:7" ht="15" customHeight="1">
      <c r="A1" s="528" t="s">
        <v>26</v>
      </c>
      <c r="B1" s="528"/>
      <c r="C1" s="528"/>
      <c r="D1" s="528"/>
      <c r="E1" s="528"/>
      <c r="F1" s="528"/>
    </row>
    <row r="2" spans="1:7" ht="12.75" customHeight="1">
      <c r="A2" s="530" t="s">
        <v>25</v>
      </c>
      <c r="B2" s="530"/>
      <c r="C2" s="530"/>
      <c r="D2" s="530"/>
      <c r="E2" s="530"/>
      <c r="F2" s="530"/>
    </row>
    <row r="3" spans="1:7" ht="12.75" customHeight="1">
      <c r="A3" s="530" t="s">
        <v>1480</v>
      </c>
      <c r="B3" s="530"/>
      <c r="C3" s="530"/>
      <c r="D3" s="530"/>
      <c r="E3" s="530"/>
      <c r="F3" s="530"/>
    </row>
    <row r="4" spans="1:7" ht="12.75" customHeight="1">
      <c r="A4" s="530" t="s">
        <v>1684</v>
      </c>
      <c r="B4" s="530"/>
      <c r="C4" s="530"/>
      <c r="D4" s="530"/>
      <c r="E4" s="530"/>
      <c r="F4" s="530"/>
    </row>
    <row r="5" spans="1:7" ht="12.75" customHeight="1">
      <c r="A5" s="111"/>
      <c r="B5" s="111"/>
      <c r="C5" s="111"/>
      <c r="D5" s="111"/>
      <c r="E5" s="111"/>
      <c r="F5" s="111"/>
    </row>
    <row r="6" spans="1:7" ht="12.75" customHeight="1">
      <c r="A6" s="111"/>
      <c r="B6" s="111"/>
      <c r="C6" s="111"/>
      <c r="D6" s="111"/>
      <c r="E6" s="111"/>
      <c r="F6" s="111"/>
    </row>
    <row r="7" spans="1:7" ht="12.75" customHeight="1">
      <c r="A7" s="111"/>
      <c r="B7" s="111"/>
      <c r="C7" s="111"/>
      <c r="D7" s="111"/>
      <c r="E7" s="111"/>
      <c r="F7" s="111"/>
    </row>
    <row r="8" spans="1:7" s="24" customFormat="1" ht="12.75" customHeight="1">
      <c r="A8" s="126" t="s">
        <v>24</v>
      </c>
      <c r="B8" s="126"/>
      <c r="C8" s="126"/>
      <c r="D8" s="178" t="s">
        <v>23</v>
      </c>
      <c r="E8" s="126"/>
      <c r="F8" s="126"/>
    </row>
    <row r="9" spans="1:7" s="24" customFormat="1" ht="12.75" customHeight="1">
      <c r="A9" s="126"/>
      <c r="B9" s="126"/>
      <c r="C9" s="126"/>
      <c r="D9" s="160" t="s">
        <v>1723</v>
      </c>
      <c r="E9" s="111" t="s">
        <v>4533</v>
      </c>
      <c r="F9" s="111"/>
    </row>
    <row r="10" spans="1:7" s="24" customFormat="1" ht="12.75" customHeight="1">
      <c r="A10" s="126" t="s">
        <v>3766</v>
      </c>
      <c r="B10" s="126"/>
      <c r="C10" s="126"/>
      <c r="D10" s="160" t="s">
        <v>1340</v>
      </c>
      <c r="E10" s="111" t="s">
        <v>4529</v>
      </c>
      <c r="F10" s="111"/>
    </row>
    <row r="11" spans="1:7" s="24" customFormat="1" ht="12.75" customHeight="1">
      <c r="A11" s="126" t="s">
        <v>3767</v>
      </c>
      <c r="B11" s="126"/>
      <c r="C11" s="126"/>
      <c r="D11" s="160" t="s">
        <v>1341</v>
      </c>
      <c r="E11" s="111" t="s">
        <v>1094</v>
      </c>
      <c r="F11" s="111"/>
    </row>
    <row r="12" spans="1:7" s="24" customFormat="1" ht="12.75" customHeight="1">
      <c r="A12" s="126" t="s">
        <v>3768</v>
      </c>
      <c r="B12" s="126"/>
      <c r="C12" s="126"/>
      <c r="D12" s="160" t="s">
        <v>2136</v>
      </c>
      <c r="E12" s="111" t="s">
        <v>4534</v>
      </c>
      <c r="F12" s="111"/>
    </row>
    <row r="13" spans="1:7" s="24" customFormat="1" ht="12.75" customHeight="1">
      <c r="A13" s="126" t="s">
        <v>3769</v>
      </c>
      <c r="B13" s="126"/>
      <c r="C13" s="126"/>
      <c r="D13" s="126"/>
      <c r="E13" s="111"/>
      <c r="F13" s="126"/>
    </row>
    <row r="14" spans="1:7" s="24" customFormat="1" ht="12.75" customHeight="1">
      <c r="A14" s="126" t="s">
        <v>3770</v>
      </c>
      <c r="B14" s="126"/>
      <c r="C14" s="126"/>
      <c r="D14" s="126"/>
      <c r="E14" s="126"/>
      <c r="F14" s="126"/>
    </row>
    <row r="15" spans="1:7" s="32" customFormat="1" ht="12.75" customHeight="1">
      <c r="A15" s="126"/>
      <c r="B15" s="126"/>
      <c r="C15" s="126"/>
      <c r="D15" s="126"/>
      <c r="E15" s="126"/>
      <c r="F15" s="126"/>
    </row>
    <row r="16" spans="1:7" s="32" customFormat="1">
      <c r="A16" s="129" t="s">
        <v>1122</v>
      </c>
      <c r="B16" s="129" t="s">
        <v>1098</v>
      </c>
      <c r="C16" s="19" t="s">
        <v>14</v>
      </c>
      <c r="D16" s="18"/>
      <c r="E16" s="129"/>
      <c r="F16" s="16" t="s">
        <v>13</v>
      </c>
      <c r="G16" s="179"/>
    </row>
    <row r="17" spans="1:7" s="32" customFormat="1" ht="12.75" customHeight="1">
      <c r="A17" s="180"/>
      <c r="B17" s="181"/>
      <c r="C17" s="182"/>
      <c r="D17" s="181"/>
      <c r="E17" s="183"/>
      <c r="F17" s="184"/>
      <c r="G17" s="179"/>
    </row>
    <row r="18" spans="1:7" s="24" customFormat="1" ht="12.75" customHeight="1">
      <c r="C18" s="15" t="s">
        <v>3096</v>
      </c>
      <c r="F18" s="126"/>
      <c r="G18" s="186"/>
    </row>
    <row r="19" spans="1:7" s="24" customFormat="1" ht="12.75" customHeight="1">
      <c r="G19" s="186"/>
    </row>
    <row r="20" spans="1:7" s="189" customFormat="1" ht="12.75" customHeight="1">
      <c r="A20" s="330" t="s">
        <v>4507</v>
      </c>
      <c r="B20" s="330" t="s">
        <v>4535</v>
      </c>
      <c r="C20" s="126" t="s">
        <v>4536</v>
      </c>
      <c r="F20" s="126">
        <v>190</v>
      </c>
    </row>
    <row r="21" spans="1:7" s="189" customFormat="1" ht="12.75" customHeight="1">
      <c r="A21" s="330"/>
      <c r="B21" s="331"/>
      <c r="C21" s="126" t="s">
        <v>1814</v>
      </c>
      <c r="F21" s="126">
        <f>F20*6%</f>
        <v>11.4</v>
      </c>
    </row>
    <row r="22" spans="1:7" s="24" customFormat="1" ht="12.75" customHeight="1">
      <c r="A22" s="330"/>
      <c r="B22" s="331"/>
      <c r="C22" s="126"/>
      <c r="D22" s="189"/>
      <c r="E22" s="189"/>
      <c r="F22" s="126"/>
      <c r="G22" s="186"/>
    </row>
    <row r="23" spans="1:7" s="24" customFormat="1" ht="12.75" customHeight="1">
      <c r="A23" s="330"/>
      <c r="B23" s="331"/>
      <c r="C23" s="126"/>
      <c r="D23" s="189"/>
      <c r="E23" s="189"/>
      <c r="F23" s="126"/>
      <c r="G23" s="186"/>
    </row>
    <row r="24" spans="1:7" s="189" customFormat="1" ht="12.75" customHeight="1">
      <c r="A24" s="330"/>
      <c r="B24" s="332"/>
      <c r="C24" s="126"/>
      <c r="F24" s="126"/>
    </row>
    <row r="25" spans="1:7" s="189" customFormat="1" ht="12.75" customHeight="1">
      <c r="A25" s="330"/>
      <c r="B25" s="331"/>
      <c r="C25" s="126"/>
      <c r="F25" s="126"/>
    </row>
    <row r="26" spans="1:7" s="189" customFormat="1" ht="12.75" customHeight="1">
      <c r="A26" s="330"/>
      <c r="B26" s="331"/>
      <c r="C26" s="126"/>
      <c r="F26" s="126"/>
    </row>
    <row r="27" spans="1:7" s="189" customFormat="1" ht="12.75" customHeight="1">
      <c r="A27" s="330"/>
      <c r="B27" s="331"/>
      <c r="C27" s="126"/>
      <c r="F27" s="126"/>
    </row>
    <row r="28" spans="1:7" s="189" customFormat="1" ht="12.75" customHeight="1">
      <c r="A28" s="330"/>
      <c r="B28" s="151"/>
      <c r="C28" s="126"/>
      <c r="D28" s="111"/>
      <c r="E28" s="111"/>
      <c r="F28" s="126"/>
    </row>
    <row r="29" spans="1:7" s="189" customFormat="1" ht="12.75" customHeight="1">
      <c r="A29" s="29"/>
      <c r="B29" s="29"/>
      <c r="C29" s="126"/>
      <c r="D29" s="111"/>
      <c r="E29" s="111"/>
      <c r="F29" s="111"/>
    </row>
    <row r="30" spans="1:7" s="113" customFormat="1" ht="12.75" customHeight="1">
      <c r="A30" s="187"/>
      <c r="B30" s="332"/>
      <c r="C30" s="126"/>
      <c r="D30" s="126"/>
      <c r="E30" s="126"/>
      <c r="F30" s="126"/>
    </row>
    <row r="31" spans="1:7" s="113" customFormat="1" ht="12.75" customHeight="1">
      <c r="A31" s="330"/>
      <c r="B31" s="332"/>
      <c r="C31" s="126"/>
      <c r="D31" s="189"/>
      <c r="E31" s="189"/>
      <c r="F31" s="126"/>
    </row>
    <row r="32" spans="1:7" ht="12.75" customHeight="1">
      <c r="A32" s="330"/>
      <c r="B32" s="151"/>
      <c r="C32" s="126"/>
      <c r="D32" s="111"/>
      <c r="E32" s="111"/>
      <c r="F32" s="126"/>
    </row>
    <row r="33" spans="1:7" s="24" customFormat="1" ht="12.75" customHeight="1">
      <c r="A33" s="29"/>
      <c r="B33" s="29"/>
      <c r="C33" s="126"/>
      <c r="D33" s="111"/>
      <c r="E33" s="111"/>
      <c r="F33" s="111"/>
      <c r="G33" s="186"/>
    </row>
    <row r="34" spans="1:7" s="24" customFormat="1" ht="12.75" customHeight="1">
      <c r="A34" s="330"/>
      <c r="B34" s="151"/>
      <c r="C34" s="126"/>
      <c r="D34" s="126"/>
      <c r="E34" s="126"/>
      <c r="F34" s="126"/>
      <c r="G34" s="186"/>
    </row>
    <row r="35" spans="1:7" s="24" customFormat="1" ht="12.75" customHeight="1">
      <c r="A35" s="187"/>
      <c r="B35" s="151"/>
      <c r="C35" s="126"/>
      <c r="D35" s="126"/>
      <c r="E35" s="126"/>
      <c r="F35" s="126"/>
      <c r="G35" s="186"/>
    </row>
    <row r="36" spans="1:7" s="24" customFormat="1" ht="15.75" customHeight="1" thickBot="1">
      <c r="A36" s="188"/>
      <c r="B36" s="189"/>
      <c r="C36" s="189"/>
      <c r="D36" s="189"/>
      <c r="E36" s="189"/>
      <c r="F36" s="259">
        <f>SUM(F18:F35)</f>
        <v>201.4</v>
      </c>
      <c r="G36" s="186"/>
    </row>
    <row r="37" spans="1:7" s="24" customFormat="1" ht="12.75" customHeight="1" thickTop="1">
      <c r="A37" s="188"/>
      <c r="B37" s="189"/>
      <c r="C37" s="189"/>
      <c r="D37" s="189"/>
      <c r="E37" s="189"/>
      <c r="F37" s="189"/>
      <c r="G37" s="186"/>
    </row>
    <row r="38" spans="1:7" ht="20.100000000000001" customHeight="1">
      <c r="A38" s="118" t="s">
        <v>1133</v>
      </c>
      <c r="B38" s="202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Two Hundred One and 40/100 -----------</v>
      </c>
      <c r="C38" s="191"/>
      <c r="D38" s="191"/>
      <c r="E38" s="191"/>
      <c r="F38" s="191"/>
    </row>
    <row r="39" spans="1:7" ht="12.75" customHeight="1">
      <c r="A39" s="192"/>
    </row>
    <row r="40" spans="1:7" ht="27" customHeight="1">
      <c r="A40" s="111" t="s">
        <v>10</v>
      </c>
      <c r="B40" s="111"/>
      <c r="C40" s="111"/>
      <c r="D40" s="265" t="s">
        <v>2894</v>
      </c>
      <c r="E40" s="266"/>
      <c r="F40" s="267"/>
    </row>
    <row r="41" spans="1:7" ht="12.75" customHeight="1">
      <c r="A41" s="111"/>
      <c r="B41" s="111"/>
      <c r="C41" s="111"/>
      <c r="D41" s="111"/>
      <c r="E41" s="111"/>
      <c r="F41" s="111"/>
    </row>
    <row r="42" spans="1:7" ht="12.75" customHeight="1">
      <c r="A42" s="111"/>
      <c r="B42" s="111"/>
      <c r="C42" s="111"/>
      <c r="D42" s="111"/>
      <c r="E42" s="111"/>
      <c r="F42" s="111"/>
    </row>
    <row r="43" spans="1:7">
      <c r="A43" s="50"/>
      <c r="B43" s="111"/>
      <c r="C43" s="111"/>
      <c r="D43" s="309"/>
      <c r="E43" s="309"/>
      <c r="F43" s="309"/>
    </row>
    <row r="44" spans="1:7">
      <c r="A44" s="150"/>
      <c r="B44" s="122"/>
      <c r="C44" s="111"/>
      <c r="D44" s="310"/>
      <c r="E44" s="311"/>
      <c r="F44" s="311"/>
    </row>
    <row r="45" spans="1:7" ht="12.75" customHeight="1">
      <c r="A45" s="50"/>
      <c r="B45" s="50"/>
      <c r="C45" s="111"/>
      <c r="D45" s="111"/>
      <c r="E45" s="111"/>
      <c r="F45" s="124"/>
    </row>
    <row r="46" spans="1:7" ht="12.75" customHeight="1">
      <c r="A46" s="123" t="s">
        <v>8</v>
      </c>
      <c r="B46" s="111"/>
      <c r="C46" s="111"/>
      <c r="D46" s="123" t="s">
        <v>7</v>
      </c>
      <c r="E46" s="111"/>
      <c r="F46" s="111"/>
    </row>
    <row r="47" spans="1:7" ht="12.75" customHeight="1">
      <c r="A47" s="50"/>
      <c r="B47" s="111"/>
      <c r="C47" s="111"/>
      <c r="E47" s="111"/>
      <c r="F47" s="111"/>
    </row>
    <row r="48" spans="1:7" ht="12.75" customHeight="1">
      <c r="A48" s="123"/>
      <c r="B48" s="111"/>
      <c r="C48" s="111"/>
      <c r="D48" s="111"/>
      <c r="E48" s="111"/>
      <c r="F48" s="111"/>
    </row>
    <row r="49" spans="1:6" ht="12.75" customHeight="1">
      <c r="A49" s="123"/>
      <c r="B49" s="111"/>
      <c r="C49" s="111"/>
      <c r="D49" s="111"/>
      <c r="E49" s="111"/>
      <c r="F49" s="111"/>
    </row>
    <row r="50" spans="1:6" s="24" customFormat="1" ht="12.75" customHeight="1">
      <c r="A50" s="123"/>
      <c r="B50" s="111"/>
      <c r="C50" s="111"/>
      <c r="D50" s="111"/>
      <c r="E50" s="126"/>
      <c r="F50" s="126"/>
    </row>
    <row r="51" spans="1:6" ht="12.75" customHeight="1">
      <c r="A51" s="150"/>
      <c r="B51" s="122"/>
      <c r="C51" s="111"/>
      <c r="D51" s="122"/>
      <c r="E51" s="122"/>
      <c r="F51" s="122"/>
    </row>
    <row r="52" spans="1:6">
      <c r="A52" s="123" t="s">
        <v>2948</v>
      </c>
      <c r="B52" s="125"/>
      <c r="C52" s="126"/>
      <c r="D52" s="126" t="s">
        <v>3</v>
      </c>
      <c r="E52" s="111"/>
      <c r="F52" s="111"/>
    </row>
    <row r="53" spans="1:6">
      <c r="A53" s="123"/>
      <c r="B53" s="111"/>
      <c r="C53" s="111"/>
      <c r="D53" s="111" t="s">
        <v>2</v>
      </c>
      <c r="E53" s="111"/>
      <c r="F53" s="111"/>
    </row>
    <row r="54" spans="1:6" ht="12.75" customHeight="1">
      <c r="A54" s="111"/>
      <c r="B54" s="111"/>
      <c r="C54" s="111"/>
      <c r="D54" s="111"/>
      <c r="E54" s="111"/>
      <c r="F54" s="111"/>
    </row>
    <row r="55" spans="1:6">
      <c r="A55" s="111"/>
      <c r="B55" s="111"/>
      <c r="C55" s="111"/>
      <c r="D55" s="2" t="s">
        <v>1</v>
      </c>
      <c r="E55" s="111"/>
      <c r="F55" s="111"/>
    </row>
    <row r="56" spans="1:6">
      <c r="A56" s="111"/>
      <c r="B56" s="111"/>
      <c r="C56" s="111"/>
      <c r="D56" s="2" t="s">
        <v>0</v>
      </c>
      <c r="E56" s="111"/>
      <c r="F56" s="111"/>
    </row>
    <row r="57" spans="1:6" ht="12.75" customHeight="1">
      <c r="A57" s="111"/>
      <c r="B57" s="111"/>
      <c r="C57" s="111"/>
      <c r="D57" s="111"/>
      <c r="E57" s="111"/>
      <c r="F57" s="111"/>
    </row>
    <row r="58" spans="1:6" ht="12.75" customHeight="1">
      <c r="A58" s="111"/>
      <c r="B58" s="111"/>
      <c r="C58" s="111"/>
      <c r="D58" s="111"/>
      <c r="E58" s="111"/>
      <c r="F58" s="111"/>
    </row>
    <row r="59" spans="1:6">
      <c r="A59" s="111"/>
      <c r="B59" s="111"/>
      <c r="C59" s="111"/>
      <c r="D59" s="111"/>
      <c r="E59" s="111"/>
      <c r="F59" s="111"/>
    </row>
    <row r="60" spans="1:6">
      <c r="A60" s="111"/>
      <c r="B60" s="111"/>
      <c r="C60" s="111"/>
      <c r="D60" s="111"/>
      <c r="E60" s="111"/>
      <c r="F60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CB25F-6695-4A07-AB23-E31607395113}">
  <sheetPr codeName="Sheet546"/>
  <dimension ref="A1:G57"/>
  <sheetViews>
    <sheetView workbookViewId="0">
      <selection activeCell="G9" sqref="G9:G13"/>
    </sheetView>
  </sheetViews>
  <sheetFormatPr defaultRowHeight="12.75"/>
  <cols>
    <col min="1" max="1" width="15" style="1" customWidth="1"/>
    <col min="2" max="2" width="13" style="1" customWidth="1"/>
    <col min="3" max="3" width="1.140625" style="1" customWidth="1"/>
    <col min="4" max="4" width="20.85546875" style="1" customWidth="1"/>
    <col min="5" max="5" width="1.85546875" style="1" customWidth="1"/>
    <col min="6" max="6" width="16.42578125" style="1" customWidth="1"/>
    <col min="7" max="7" width="15.140625" style="1" customWidth="1"/>
    <col min="8" max="16384" width="9.140625" style="1"/>
  </cols>
  <sheetData>
    <row r="1" spans="1:7" ht="15">
      <c r="A1" s="528" t="s">
        <v>26</v>
      </c>
      <c r="B1" s="528"/>
      <c r="C1" s="528"/>
      <c r="D1" s="528"/>
      <c r="E1" s="528"/>
      <c r="F1" s="528"/>
      <c r="G1" s="528"/>
    </row>
    <row r="2" spans="1:7">
      <c r="A2" s="530" t="s">
        <v>25</v>
      </c>
      <c r="B2" s="530"/>
      <c r="C2" s="530"/>
      <c r="D2" s="530"/>
      <c r="E2" s="530"/>
      <c r="F2" s="530"/>
      <c r="G2" s="530"/>
    </row>
    <row r="3" spans="1:7">
      <c r="A3" s="530" t="s">
        <v>1480</v>
      </c>
      <c r="B3" s="530"/>
      <c r="C3" s="530"/>
      <c r="D3" s="530"/>
      <c r="E3" s="530"/>
      <c r="F3" s="530"/>
      <c r="G3" s="530"/>
    </row>
    <row r="4" spans="1:7">
      <c r="A4" s="530" t="s">
        <v>1684</v>
      </c>
      <c r="B4" s="530"/>
      <c r="C4" s="530"/>
      <c r="D4" s="530"/>
      <c r="E4" s="530"/>
      <c r="F4" s="530"/>
      <c r="G4" s="530"/>
    </row>
    <row r="7" spans="1:7" s="111" customFormat="1"/>
    <row r="8" spans="1:7" s="111" customFormat="1">
      <c r="A8" s="111" t="s">
        <v>24</v>
      </c>
      <c r="F8" s="22" t="s">
        <v>23</v>
      </c>
    </row>
    <row r="9" spans="1:7" s="111" customFormat="1">
      <c r="F9" s="112" t="s">
        <v>5604</v>
      </c>
      <c r="G9" s="111" t="s">
        <v>5610</v>
      </c>
    </row>
    <row r="10" spans="1:7" s="111" customFormat="1">
      <c r="A10" s="111" t="s">
        <v>5611</v>
      </c>
      <c r="F10" s="112" t="s">
        <v>5605</v>
      </c>
      <c r="G10" s="111" t="s">
        <v>5606</v>
      </c>
    </row>
    <row r="11" spans="1:7" s="111" customFormat="1">
      <c r="A11" s="111" t="s">
        <v>5612</v>
      </c>
      <c r="F11" s="112" t="s">
        <v>5607</v>
      </c>
      <c r="G11" s="111" t="s">
        <v>1094</v>
      </c>
    </row>
    <row r="12" spans="1:7" s="111" customFormat="1">
      <c r="A12" s="111" t="s">
        <v>5613</v>
      </c>
      <c r="F12" s="112" t="s">
        <v>2136</v>
      </c>
      <c r="G12" s="111" t="s">
        <v>1270</v>
      </c>
    </row>
    <row r="13" spans="1:7" s="111" customFormat="1"/>
    <row r="14" spans="1:7" s="111" customFormat="1"/>
    <row r="15" spans="1:7" s="111" customFormat="1"/>
    <row r="16" spans="1:7" s="15" customFormat="1" ht="20.100000000000001" customHeight="1">
      <c r="A16" s="18" t="s">
        <v>1122</v>
      </c>
      <c r="B16" s="129" t="s">
        <v>1132</v>
      </c>
      <c r="C16" s="129"/>
      <c r="D16" s="19" t="s">
        <v>14</v>
      </c>
      <c r="E16" s="19"/>
      <c r="F16" s="18"/>
      <c r="G16" s="16" t="s">
        <v>13</v>
      </c>
    </row>
    <row r="17" spans="1:7" s="111" customFormat="1"/>
    <row r="18" spans="1:7" s="111" customFormat="1">
      <c r="A18" s="116"/>
      <c r="B18" s="121"/>
      <c r="C18" s="121"/>
      <c r="D18" s="2" t="s">
        <v>5608</v>
      </c>
    </row>
    <row r="19" spans="1:7" s="111" customFormat="1"/>
    <row r="20" spans="1:7" s="111" customFormat="1">
      <c r="A20" s="116" t="s">
        <v>5614</v>
      </c>
      <c r="B20" s="116" t="s">
        <v>5609</v>
      </c>
      <c r="C20" s="116"/>
      <c r="D20" s="111" t="s">
        <v>5615</v>
      </c>
      <c r="G20" s="111">
        <f>712.31*4.1213</f>
        <v>2935.6432029999996</v>
      </c>
    </row>
    <row r="21" spans="1:7" s="111" customFormat="1">
      <c r="D21" s="111" t="s">
        <v>5616</v>
      </c>
      <c r="G21" s="111">
        <f>356.15*4.1213</f>
        <v>1467.8009949999998</v>
      </c>
    </row>
    <row r="22" spans="1:7" s="111" customFormat="1">
      <c r="A22" s="116"/>
      <c r="B22" s="116"/>
      <c r="C22" s="116"/>
      <c r="D22" s="111" t="s">
        <v>5617</v>
      </c>
    </row>
    <row r="23" spans="1:7" s="111" customFormat="1"/>
    <row r="24" spans="1:7" s="111" customFormat="1">
      <c r="A24" s="116"/>
      <c r="B24" s="116"/>
      <c r="C24" s="116"/>
      <c r="D24" s="111" t="s">
        <v>5618</v>
      </c>
    </row>
    <row r="25" spans="1:7" s="111" customFormat="1"/>
    <row r="26" spans="1:7" s="111" customFormat="1">
      <c r="D26" s="111" t="s">
        <v>1697</v>
      </c>
      <c r="G26" s="111">
        <v>30</v>
      </c>
    </row>
    <row r="27" spans="1:7" s="111" customFormat="1"/>
    <row r="28" spans="1:7" s="111" customFormat="1"/>
    <row r="29" spans="1:7" s="111" customFormat="1">
      <c r="B29" s="120"/>
      <c r="C29" s="120"/>
    </row>
    <row r="30" spans="1:7" s="111" customFormat="1">
      <c r="B30" s="120"/>
      <c r="C30" s="120"/>
    </row>
    <row r="31" spans="1:7" s="111" customFormat="1">
      <c r="B31" s="120"/>
      <c r="C31" s="120"/>
    </row>
    <row r="32" spans="1:7" s="111" customFormat="1"/>
    <row r="33" spans="1:7" s="111" customFormat="1"/>
    <row r="34" spans="1:7" s="111" customFormat="1"/>
    <row r="35" spans="1:7" s="111" customFormat="1" ht="13.5" thickBot="1">
      <c r="G35" s="127">
        <f>SUM(G18:G33)</f>
        <v>4433.4441979999992</v>
      </c>
    </row>
    <row r="36" spans="1:7" s="111" customFormat="1" ht="13.5" thickTop="1">
      <c r="G36" s="122"/>
    </row>
    <row r="37" spans="1:7" s="111" customFormat="1" ht="20.100000000000001" customHeight="1">
      <c r="A37" s="118" t="s">
        <v>204</v>
      </c>
      <c r="B37" s="202" t="str">
        <f>IF(OR(G35&gt;1000000,G35&lt;=0),"",IF(G35&lt;1000,"",IF(MOD(G35,1000000)&gt;=100000,INDEX(numbers,TRUNC(MOD(G35,1000000)/100000,0)+1)&amp;" Hundred","")&amp;IF(MOD(G35,100000)&gt;=20000," "&amp;INDEX(tens,TRUNC(MOD(G35,100000)/10000,0)+1)&amp;IF(MOD(MOD(G35,100000),10000)&gt;=1000,"-"&amp;INDEX(numbers,TRUNC(MOD(MOD(G35,100000),10000)/1000,0)+1),""),IF(MOD(G35,100000)&gt;=1000," "&amp;INDEX(numbers,TRUNC(MOD(G35,100000)/1000,0)+1),""))&amp;" Thousand") &amp; IF(G35&lt;1,"Zero Dollars",IF(MOD(G35,1000)&gt;=100," "&amp;INDEX(numbers,TRUNC(MOD(G35,1000)/100,0)+1)&amp;" Hundred","")&amp;IF(MOD(G35,100)&gt;=20," "&amp;INDEX(tens,TRUNC(MOD(G35,100)/10,0)+1)&amp;IF(MOD(MOD(G35,100),10)&gt;=1,"-"&amp;INDEX(numbers,TRUNC(MOD(MOD(G35,100),10),0)+1),""),IF(MOD(G35,100)&gt;=1," "&amp;INDEX(numbers,TRUNC(MOD(G35,100),0)+1),""))&amp;"") &amp; " and " &amp; IF(MOD(G35,1)&lt;0.005,"NO",ROUND(MOD(G35,1)*100,0)) &amp; "/100 -----------")</f>
        <v xml:space="preserve"> Four Thousand Four Hundred Thirty-Three and 44/100 -----------</v>
      </c>
      <c r="C37" s="202"/>
      <c r="D37" s="119"/>
      <c r="E37" s="119"/>
      <c r="F37" s="119"/>
      <c r="G37" s="270"/>
    </row>
    <row r="38" spans="1:7" s="111" customFormat="1">
      <c r="A38" s="120" t="s">
        <v>11</v>
      </c>
    </row>
    <row r="39" spans="1:7" s="111" customFormat="1" ht="25.5">
      <c r="A39" s="111" t="s">
        <v>10</v>
      </c>
      <c r="F39" s="265" t="s">
        <v>2894</v>
      </c>
      <c r="G39" s="267"/>
    </row>
    <row r="40" spans="1:7" s="111" customFormat="1">
      <c r="B40" s="433"/>
      <c r="C40" s="433"/>
    </row>
    <row r="41" spans="1:7" s="111" customFormat="1">
      <c r="B41" s="433"/>
      <c r="C41" s="433"/>
      <c r="F41" s="309"/>
      <c r="G41" s="309"/>
    </row>
    <row r="42" spans="1:7" s="111" customFormat="1">
      <c r="B42" s="433"/>
      <c r="C42" s="433"/>
      <c r="F42" s="310"/>
      <c r="G42" s="311"/>
    </row>
    <row r="43" spans="1:7" s="111" customFormat="1">
      <c r="A43" s="122"/>
      <c r="B43" s="122"/>
      <c r="C43" s="433"/>
    </row>
    <row r="44" spans="1:7" s="111" customFormat="1">
      <c r="B44" s="433"/>
      <c r="C44" s="433"/>
    </row>
    <row r="45" spans="1:7" s="111" customFormat="1">
      <c r="A45" s="123" t="s">
        <v>8</v>
      </c>
      <c r="B45" s="123"/>
      <c r="C45" s="433"/>
      <c r="D45" s="123" t="s">
        <v>8</v>
      </c>
      <c r="F45" s="123" t="s">
        <v>7</v>
      </c>
      <c r="G45" s="124"/>
    </row>
    <row r="46" spans="1:7" s="111" customFormat="1">
      <c r="C46" s="433"/>
    </row>
    <row r="47" spans="1:7" s="111" customFormat="1">
      <c r="C47" s="433"/>
    </row>
    <row r="48" spans="1:7" s="111" customFormat="1">
      <c r="C48" s="433"/>
    </row>
    <row r="49" spans="1:7" s="111" customFormat="1">
      <c r="A49" s="122"/>
      <c r="B49" s="122"/>
      <c r="C49" s="433"/>
      <c r="D49" s="122"/>
      <c r="F49" s="122"/>
      <c r="G49" s="122"/>
    </row>
    <row r="50" spans="1:7" s="126" customFormat="1" ht="17.100000000000001" customHeight="1">
      <c r="A50" s="151" t="s">
        <v>3441</v>
      </c>
      <c r="B50" s="151"/>
      <c r="C50" s="434"/>
      <c r="D50" s="151" t="s">
        <v>103</v>
      </c>
      <c r="F50" s="126" t="s">
        <v>3</v>
      </c>
    </row>
    <row r="51" spans="1:7" s="111" customFormat="1">
      <c r="B51" s="433"/>
      <c r="C51" s="433"/>
      <c r="F51" s="111" t="s">
        <v>2</v>
      </c>
    </row>
    <row r="52" spans="1:7" s="111" customFormat="1">
      <c r="B52" s="433"/>
      <c r="C52" s="433"/>
    </row>
    <row r="53" spans="1:7" s="111" customFormat="1">
      <c r="B53" s="433"/>
      <c r="C53" s="433"/>
      <c r="F53" s="2" t="s">
        <v>1</v>
      </c>
    </row>
    <row r="54" spans="1:7" s="111" customFormat="1">
      <c r="F54" s="2" t="s">
        <v>0</v>
      </c>
    </row>
    <row r="55" spans="1:7" s="111" customFormat="1"/>
    <row r="56" spans="1:7" s="111" customFormat="1"/>
    <row r="57" spans="1:7" s="111" customFormat="1"/>
  </sheetData>
  <mergeCells count="4">
    <mergeCell ref="A1:G1"/>
    <mergeCell ref="A2:G2"/>
    <mergeCell ref="A3:G3"/>
    <mergeCell ref="A4:G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sheetPr codeName="Sheet436">
    <pageSetUpPr fitToPage="1"/>
  </sheetPr>
  <dimension ref="A1:H54"/>
  <sheetViews>
    <sheetView topLeftCell="A28"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0.85546875" style="131" customWidth="1"/>
    <col min="4" max="4" width="21" style="131" customWidth="1"/>
    <col min="5" max="5" width="1" style="131" customWidth="1"/>
    <col min="6" max="6" width="16.42578125" style="131" customWidth="1"/>
    <col min="7" max="7" width="9.28515625" style="131" customWidth="1"/>
    <col min="8" max="8" width="13.28515625" style="131" customWidth="1"/>
    <col min="9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1110</v>
      </c>
      <c r="G9" s="131" t="s">
        <v>3918</v>
      </c>
    </row>
    <row r="10" spans="1:8">
      <c r="A10" s="131" t="s">
        <v>3919</v>
      </c>
      <c r="F10" s="132" t="s">
        <v>1685</v>
      </c>
      <c r="G10" s="132" t="s">
        <v>3917</v>
      </c>
    </row>
    <row r="11" spans="1:8">
      <c r="A11" s="131" t="s">
        <v>3920</v>
      </c>
      <c r="F11" s="132" t="s">
        <v>1163</v>
      </c>
      <c r="G11" s="132" t="s">
        <v>1094</v>
      </c>
    </row>
    <row r="12" spans="1:8">
      <c r="A12" s="131" t="s">
        <v>3921</v>
      </c>
      <c r="F12" s="132" t="s">
        <v>1135</v>
      </c>
      <c r="G12" s="132" t="s">
        <v>1270</v>
      </c>
    </row>
    <row r="13" spans="1:8">
      <c r="A13" s="131" t="s">
        <v>3922</v>
      </c>
    </row>
    <row r="16" spans="1:8" s="95" customFormat="1" ht="20.100000000000001" customHeight="1">
      <c r="A16" s="90" t="s">
        <v>1140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7" spans="1:8">
      <c r="A17" s="177"/>
    </row>
    <row r="18" spans="1:8">
      <c r="D18" s="110" t="s">
        <v>3230</v>
      </c>
    </row>
    <row r="19" spans="1:8">
      <c r="A19" s="177"/>
    </row>
    <row r="20" spans="1:8">
      <c r="A20" s="158" t="s">
        <v>3923</v>
      </c>
      <c r="B20" s="334" t="s">
        <v>3924</v>
      </c>
      <c r="C20" s="158"/>
      <c r="D20" s="131" t="s">
        <v>3925</v>
      </c>
      <c r="H20" s="131">
        <f>2000*4.1149</f>
        <v>8229.7999999999993</v>
      </c>
    </row>
    <row r="21" spans="1:8">
      <c r="A21" s="177"/>
      <c r="D21" s="140"/>
      <c r="E21" s="140"/>
    </row>
    <row r="22" spans="1:8">
      <c r="A22" s="177"/>
      <c r="D22" s="131" t="s">
        <v>2831</v>
      </c>
      <c r="H22" s="131">
        <v>30</v>
      </c>
    </row>
    <row r="23" spans="1:8">
      <c r="A23" s="177"/>
    </row>
    <row r="24" spans="1:8">
      <c r="D24" s="131" t="s">
        <v>1814</v>
      </c>
      <c r="E24" s="140"/>
      <c r="H24" s="131">
        <v>1.6</v>
      </c>
    </row>
    <row r="25" spans="1:8">
      <c r="A25" s="158"/>
      <c r="B25" s="158"/>
      <c r="C25" s="158"/>
    </row>
    <row r="26" spans="1:8">
      <c r="A26" s="158"/>
      <c r="B26" s="158"/>
      <c r="C26" s="158"/>
    </row>
    <row r="27" spans="1:8">
      <c r="A27" s="86"/>
      <c r="B27" s="86"/>
      <c r="C27" s="86"/>
      <c r="D27" s="140"/>
    </row>
    <row r="28" spans="1:8">
      <c r="A28" s="86"/>
      <c r="B28" s="86"/>
      <c r="C28" s="86"/>
      <c r="E28" s="140"/>
    </row>
    <row r="29" spans="1:8">
      <c r="A29" s="86"/>
      <c r="B29" s="86"/>
      <c r="C29" s="86"/>
    </row>
    <row r="30" spans="1:8">
      <c r="A30" s="86"/>
      <c r="B30" s="86"/>
      <c r="C30" s="86"/>
    </row>
    <row r="31" spans="1:8">
      <c r="A31" s="86"/>
      <c r="B31" s="86"/>
      <c r="C31" s="86"/>
      <c r="D31" s="140"/>
      <c r="E31" s="140"/>
    </row>
    <row r="32" spans="1:8">
      <c r="A32" s="86"/>
      <c r="B32" s="86"/>
      <c r="C32" s="86"/>
      <c r="D32" s="140"/>
      <c r="E32" s="140"/>
    </row>
    <row r="33" spans="1:8">
      <c r="A33" s="86"/>
      <c r="B33" s="86"/>
      <c r="C33" s="86"/>
    </row>
    <row r="34" spans="1:8">
      <c r="A34" s="177"/>
    </row>
    <row r="35" spans="1:8" ht="13.5" thickBot="1">
      <c r="A35" s="177"/>
      <c r="H35" s="137">
        <f>SUM(H19:H33)</f>
        <v>8261.4</v>
      </c>
    </row>
    <row r="36" spans="1:8" ht="13.5" thickTop="1">
      <c r="A36" s="177"/>
    </row>
    <row r="37" spans="1:8" ht="20.100000000000001" customHeight="1">
      <c r="A37" s="138" t="s">
        <v>1686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Eight Thousand Two Hundred Sixty-One and 40/100 -----------</v>
      </c>
      <c r="C37" s="204"/>
      <c r="D37" s="139"/>
      <c r="E37" s="139"/>
      <c r="F37" s="139"/>
      <c r="G37" s="282"/>
      <c r="H37" s="282"/>
    </row>
    <row r="38" spans="1:8" ht="20.100000000000001" customHeight="1">
      <c r="A38" s="212"/>
      <c r="B38" s="145"/>
      <c r="C38" s="145"/>
      <c r="D38" s="147"/>
      <c r="E38" s="147"/>
      <c r="F38" s="147"/>
      <c r="G38" s="282"/>
      <c r="H38" s="282"/>
    </row>
    <row r="39" spans="1:8" ht="25.5">
      <c r="A39" s="140" t="s">
        <v>3060</v>
      </c>
      <c r="F39" s="283" t="s">
        <v>2894</v>
      </c>
      <c r="G39" s="284"/>
      <c r="H39" s="285"/>
    </row>
    <row r="40" spans="1:8">
      <c r="F40" s="286"/>
      <c r="G40" s="287"/>
      <c r="H40" s="287"/>
    </row>
    <row r="41" spans="1:8">
      <c r="A41" s="86"/>
      <c r="D41" s="141"/>
      <c r="E41" s="141"/>
    </row>
    <row r="42" spans="1:8">
      <c r="A42" s="131" t="s">
        <v>51</v>
      </c>
      <c r="D42" s="141"/>
      <c r="E42" s="141"/>
    </row>
    <row r="43" spans="1:8">
      <c r="A43" s="142"/>
      <c r="B43" s="142"/>
    </row>
    <row r="45" spans="1:8">
      <c r="A45" s="131" t="s">
        <v>8</v>
      </c>
      <c r="D45" s="131" t="s">
        <v>8</v>
      </c>
      <c r="F45" s="143" t="s">
        <v>7</v>
      </c>
      <c r="H45" s="144"/>
    </row>
    <row r="49" spans="1:8">
      <c r="A49" s="142"/>
      <c r="B49" s="142"/>
      <c r="D49" s="142"/>
      <c r="F49" s="142"/>
      <c r="G49" s="142"/>
      <c r="H49" s="142"/>
    </row>
    <row r="50" spans="1:8" s="109" customFormat="1" ht="17.100000000000001" customHeight="1">
      <c r="A50" s="131" t="s">
        <v>2948</v>
      </c>
      <c r="B50" s="146"/>
      <c r="C50" s="146"/>
      <c r="D50" s="131" t="s">
        <v>103</v>
      </c>
      <c r="E50" s="147"/>
      <c r="F50" s="147" t="s">
        <v>3</v>
      </c>
      <c r="G50" s="147"/>
      <c r="H50" s="147"/>
    </row>
    <row r="51" spans="1:8">
      <c r="F51" s="131" t="s">
        <v>2</v>
      </c>
    </row>
    <row r="53" spans="1:8">
      <c r="F53" s="110" t="s">
        <v>1</v>
      </c>
    </row>
    <row r="54" spans="1:8">
      <c r="F54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sheetPr codeName="Sheet437">
    <pageSetUpPr fitToPage="1"/>
  </sheetPr>
  <dimension ref="A1:G54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2.42578125" style="131" customWidth="1"/>
    <col min="5" max="5" width="8.7109375" style="131" customWidth="1"/>
    <col min="6" max="6" width="13.28515625" style="131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A9" s="131" t="s">
        <v>3963</v>
      </c>
      <c r="D9" s="132" t="s">
        <v>1110</v>
      </c>
      <c r="E9" s="111" t="s">
        <v>3961</v>
      </c>
    </row>
    <row r="10" spans="1:6">
      <c r="A10" s="131" t="s">
        <v>3964</v>
      </c>
      <c r="D10" s="132" t="s">
        <v>1685</v>
      </c>
      <c r="E10" s="123" t="s">
        <v>3960</v>
      </c>
    </row>
    <row r="11" spans="1:6">
      <c r="A11" s="131" t="s">
        <v>1149</v>
      </c>
      <c r="D11" s="132" t="s">
        <v>1163</v>
      </c>
      <c r="E11" s="112" t="s">
        <v>1094</v>
      </c>
    </row>
    <row r="12" spans="1:6">
      <c r="A12" s="131" t="s">
        <v>3965</v>
      </c>
      <c r="D12" s="132" t="s">
        <v>1188</v>
      </c>
      <c r="E12" s="112" t="s">
        <v>3962</v>
      </c>
    </row>
    <row r="13" spans="1:6">
      <c r="A13" s="131" t="s">
        <v>3966</v>
      </c>
      <c r="E13" s="111"/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7">
      <c r="A17" s="177"/>
    </row>
    <row r="18" spans="1:7">
      <c r="A18" s="116"/>
      <c r="B18" s="241"/>
      <c r="C18" s="2" t="s">
        <v>3967</v>
      </c>
      <c r="D18" s="111"/>
      <c r="E18" s="111"/>
      <c r="F18" s="111"/>
      <c r="G18" s="111"/>
    </row>
    <row r="19" spans="1:7">
      <c r="A19" s="116"/>
      <c r="B19" s="241"/>
      <c r="C19" s="2"/>
      <c r="D19" s="111"/>
      <c r="E19" s="111"/>
      <c r="F19" s="111"/>
      <c r="G19" s="111"/>
    </row>
    <row r="20" spans="1:7">
      <c r="A20" s="116" t="s">
        <v>3909</v>
      </c>
      <c r="B20" s="116" t="s">
        <v>3968</v>
      </c>
      <c r="C20" s="111" t="s">
        <v>3969</v>
      </c>
      <c r="D20" s="111"/>
      <c r="E20" s="111"/>
      <c r="F20" s="111">
        <f>500*15</f>
        <v>7500</v>
      </c>
      <c r="G20" s="111"/>
    </row>
    <row r="21" spans="1:7">
      <c r="A21" s="120"/>
      <c r="B21" s="313"/>
      <c r="C21" s="111" t="s">
        <v>1814</v>
      </c>
      <c r="D21" s="111"/>
      <c r="E21" s="111"/>
      <c r="F21" s="111">
        <f>F20*6%</f>
        <v>450</v>
      </c>
      <c r="G21" s="111"/>
    </row>
    <row r="22" spans="1:7">
      <c r="A22" s="112"/>
      <c r="B22" s="241"/>
      <c r="C22" s="111"/>
      <c r="D22" s="111"/>
      <c r="E22" s="111"/>
      <c r="F22" s="111"/>
      <c r="G22" s="111"/>
    </row>
    <row r="23" spans="1:7">
      <c r="A23" s="111"/>
      <c r="B23" s="111"/>
      <c r="C23" s="111"/>
      <c r="D23" s="111"/>
      <c r="E23" s="111"/>
      <c r="F23" s="111"/>
      <c r="G23" s="111"/>
    </row>
    <row r="24" spans="1:7">
      <c r="A24" s="111"/>
      <c r="B24" s="111"/>
      <c r="C24" s="111"/>
      <c r="D24" s="111"/>
      <c r="E24" s="111"/>
      <c r="F24" s="111"/>
      <c r="G24" s="111"/>
    </row>
    <row r="25" spans="1:7">
      <c r="A25" s="111"/>
      <c r="B25" s="111"/>
      <c r="C25" s="2"/>
      <c r="D25" s="111"/>
      <c r="E25" s="111"/>
      <c r="F25" s="111"/>
      <c r="G25" s="111"/>
    </row>
    <row r="26" spans="1:7">
      <c r="A26" s="111"/>
      <c r="B26" s="111"/>
      <c r="C26" s="111"/>
      <c r="D26" s="111"/>
      <c r="E26" s="111"/>
      <c r="F26" s="111"/>
      <c r="G26" s="111"/>
    </row>
    <row r="27" spans="1:7">
      <c r="A27" s="111"/>
      <c r="B27" s="111"/>
      <c r="C27" s="111"/>
      <c r="D27" s="111"/>
      <c r="E27" s="111"/>
      <c r="F27" s="111"/>
      <c r="G27" s="111"/>
    </row>
    <row r="28" spans="1:7">
      <c r="A28" s="111"/>
      <c r="B28" s="111"/>
      <c r="C28" s="111"/>
      <c r="D28" s="111"/>
      <c r="E28" s="111"/>
      <c r="F28" s="111"/>
    </row>
    <row r="29" spans="1:7">
      <c r="A29" s="112"/>
    </row>
    <row r="30" spans="1:7">
      <c r="A30" s="111"/>
    </row>
    <row r="33" spans="1:6">
      <c r="A33" s="158"/>
    </row>
    <row r="34" spans="1:6">
      <c r="A34" s="177"/>
      <c r="F34" s="86"/>
    </row>
    <row r="35" spans="1:6" ht="13.5" thickBot="1">
      <c r="A35" s="177"/>
      <c r="F35" s="137">
        <f>SUM(F19:F33)</f>
        <v>7950</v>
      </c>
    </row>
    <row r="36" spans="1:6" ht="13.5" thickTop="1">
      <c r="A36" s="177"/>
    </row>
    <row r="37" spans="1:6" ht="20.100000000000001" customHeight="1">
      <c r="A37" s="138" t="s">
        <v>1686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Seven Thousand Nine Hundred Fifty and NO/100 -----------</v>
      </c>
      <c r="C37" s="139"/>
      <c r="D37" s="139"/>
      <c r="E37" s="139"/>
      <c r="F37" s="139"/>
    </row>
    <row r="38" spans="1:6">
      <c r="A38" s="140"/>
    </row>
    <row r="39" spans="1:6" ht="25.5">
      <c r="A39" s="131" t="s">
        <v>10</v>
      </c>
      <c r="D39" s="265" t="s">
        <v>2894</v>
      </c>
      <c r="E39" s="266"/>
      <c r="F39" s="267"/>
    </row>
    <row r="40" spans="1:6">
      <c r="A40" s="147"/>
    </row>
    <row r="42" spans="1:6">
      <c r="A42" s="131" t="s">
        <v>51</v>
      </c>
      <c r="C42" s="141"/>
    </row>
    <row r="43" spans="1:6">
      <c r="A43" s="142"/>
      <c r="B43" s="142"/>
    </row>
    <row r="44" spans="1:6">
      <c r="D44" s="143" t="s">
        <v>7</v>
      </c>
    </row>
    <row r="45" spans="1:6">
      <c r="A45" s="131" t="s">
        <v>8</v>
      </c>
      <c r="F45" s="144"/>
    </row>
    <row r="49" spans="1:6">
      <c r="A49" s="142" t="s">
        <v>51</v>
      </c>
      <c r="B49" s="142"/>
      <c r="D49" s="142"/>
      <c r="E49" s="142"/>
      <c r="F49" s="142"/>
    </row>
    <row r="50" spans="1:6" s="109" customFormat="1" ht="17.100000000000001" customHeight="1">
      <c r="A50" s="145" t="s">
        <v>2948</v>
      </c>
      <c r="B50" s="146"/>
      <c r="C50" s="147"/>
      <c r="D50" s="147" t="s">
        <v>3</v>
      </c>
      <c r="E50" s="147"/>
      <c r="F50" s="147"/>
    </row>
    <row r="51" spans="1:6">
      <c r="A51" s="145"/>
      <c r="D51" s="131" t="s">
        <v>2</v>
      </c>
    </row>
    <row r="53" spans="1:6">
      <c r="D53" s="110" t="s">
        <v>1</v>
      </c>
    </row>
    <row r="54" spans="1:6">
      <c r="D54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sheetPr codeName="Sheet438">
    <pageSetUpPr fitToPage="1"/>
  </sheetPr>
  <dimension ref="A1:K64"/>
  <sheetViews>
    <sheetView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10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0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0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0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0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0">
      <c r="A9" s="111"/>
      <c r="B9" s="111"/>
      <c r="C9" s="111"/>
      <c r="D9" s="111"/>
      <c r="E9" s="111"/>
      <c r="F9" s="112" t="s">
        <v>22</v>
      </c>
      <c r="G9" s="111" t="s">
        <v>4074</v>
      </c>
      <c r="H9" s="111"/>
    </row>
    <row r="10" spans="1:10">
      <c r="A10" s="111" t="s">
        <v>4075</v>
      </c>
      <c r="B10" s="111"/>
      <c r="C10" s="111"/>
      <c r="D10" s="111"/>
      <c r="E10" s="111"/>
      <c r="F10" s="112" t="s">
        <v>21</v>
      </c>
      <c r="G10" s="112" t="s">
        <v>4064</v>
      </c>
      <c r="H10" s="111"/>
      <c r="J10" s="21"/>
    </row>
    <row r="11" spans="1:10">
      <c r="A11" s="111" t="s">
        <v>4076</v>
      </c>
      <c r="B11" s="111"/>
      <c r="C11" s="111"/>
      <c r="D11" s="111"/>
      <c r="E11" s="111"/>
      <c r="F11" s="112" t="s">
        <v>19</v>
      </c>
      <c r="G11" s="112" t="s">
        <v>1094</v>
      </c>
      <c r="H11" s="111"/>
      <c r="J11" s="336"/>
    </row>
    <row r="12" spans="1:10">
      <c r="A12" s="111" t="s">
        <v>4077</v>
      </c>
      <c r="B12" s="111"/>
      <c r="C12" s="111"/>
      <c r="D12" s="111"/>
      <c r="E12" s="111"/>
      <c r="F12" s="112" t="s">
        <v>17</v>
      </c>
      <c r="G12" s="112" t="s">
        <v>1270</v>
      </c>
      <c r="H12" s="111"/>
    </row>
    <row r="13" spans="1:10">
      <c r="A13" s="111" t="s">
        <v>4078</v>
      </c>
      <c r="B13" s="111"/>
      <c r="C13" s="111"/>
      <c r="D13" s="111"/>
      <c r="E13" s="111"/>
      <c r="F13" s="111"/>
      <c r="G13" s="111"/>
      <c r="H13" s="111"/>
    </row>
    <row r="14" spans="1:10">
      <c r="A14" s="111" t="s">
        <v>4079</v>
      </c>
      <c r="B14" s="111"/>
      <c r="C14" s="111"/>
      <c r="D14" s="111"/>
      <c r="E14" s="111"/>
      <c r="F14" s="111"/>
      <c r="G14" s="111"/>
      <c r="H14" s="111"/>
    </row>
    <row r="15" spans="1:10">
      <c r="A15" s="111"/>
      <c r="B15" s="111"/>
      <c r="C15" s="111"/>
      <c r="D15" s="111"/>
      <c r="E15" s="111"/>
      <c r="F15" s="111"/>
      <c r="G15" s="111"/>
      <c r="H15" s="111"/>
    </row>
    <row r="16" spans="1:10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11">
      <c r="A17" s="111"/>
      <c r="B17" s="111"/>
      <c r="C17" s="111"/>
      <c r="D17" s="111"/>
      <c r="E17" s="111"/>
      <c r="F17" s="111"/>
      <c r="G17" s="111"/>
      <c r="H17" s="111"/>
    </row>
    <row r="18" spans="1:11">
      <c r="A18" s="111"/>
      <c r="B18" s="111"/>
      <c r="C18" s="111"/>
      <c r="D18" s="2" t="s">
        <v>4080</v>
      </c>
      <c r="E18" s="2"/>
      <c r="F18" s="111"/>
      <c r="G18" s="111"/>
      <c r="H18" s="111"/>
      <c r="K18" s="337"/>
    </row>
    <row r="19" spans="1:11">
      <c r="A19" s="111"/>
      <c r="B19" s="111"/>
      <c r="C19" s="111"/>
      <c r="D19" s="2"/>
      <c r="E19" s="2"/>
      <c r="F19" s="111"/>
      <c r="G19" s="111"/>
      <c r="H19" s="111"/>
    </row>
    <row r="20" spans="1:11">
      <c r="A20" s="116" t="s">
        <v>4081</v>
      </c>
      <c r="B20" s="241" t="s">
        <v>4082</v>
      </c>
      <c r="C20" s="116"/>
      <c r="D20" s="111" t="s">
        <v>4083</v>
      </c>
      <c r="E20" s="111"/>
      <c r="F20" s="111"/>
      <c r="G20" s="111"/>
      <c r="H20" s="111">
        <f>10000*5.687</f>
        <v>56870</v>
      </c>
    </row>
    <row r="21" spans="1:11">
      <c r="A21" s="111"/>
      <c r="B21" s="120"/>
      <c r="C21" s="120"/>
      <c r="D21" s="111" t="s">
        <v>4084</v>
      </c>
      <c r="E21" s="111"/>
      <c r="F21" s="111"/>
      <c r="G21" s="111"/>
      <c r="H21" s="111"/>
    </row>
    <row r="22" spans="1:11">
      <c r="A22" s="116"/>
      <c r="B22" s="116"/>
      <c r="C22" s="116"/>
    </row>
    <row r="23" spans="1:11">
      <c r="A23" s="111"/>
      <c r="B23" s="120"/>
      <c r="C23" s="120"/>
      <c r="D23" s="111" t="s">
        <v>1697</v>
      </c>
      <c r="F23" s="111"/>
      <c r="G23" s="111"/>
      <c r="H23" s="111">
        <v>30</v>
      </c>
    </row>
    <row r="24" spans="1:11">
      <c r="A24" s="116"/>
      <c r="B24" s="116"/>
      <c r="C24" s="116"/>
      <c r="D24" s="111"/>
      <c r="E24" s="111"/>
      <c r="F24" s="111"/>
      <c r="G24" s="111"/>
      <c r="H24" s="111"/>
    </row>
    <row r="25" spans="1:11">
      <c r="A25" s="111"/>
      <c r="B25" s="111"/>
      <c r="C25" s="111"/>
      <c r="D25" s="111" t="s">
        <v>1814</v>
      </c>
      <c r="E25" s="111"/>
      <c r="F25" s="111"/>
      <c r="G25" s="111"/>
      <c r="H25" s="111">
        <v>1.8</v>
      </c>
    </row>
    <row r="26" spans="1:11">
      <c r="A26" s="111"/>
      <c r="B26" s="120"/>
      <c r="C26" s="120"/>
      <c r="D26" s="111"/>
      <c r="E26" s="111"/>
    </row>
    <row r="27" spans="1:11">
      <c r="A27" s="111"/>
      <c r="B27" s="111"/>
      <c r="C27" s="111"/>
    </row>
    <row r="28" spans="1:11">
      <c r="A28" s="111"/>
      <c r="B28" s="111"/>
      <c r="C28" s="111"/>
      <c r="D28" s="111"/>
      <c r="E28" s="111"/>
      <c r="F28" s="111"/>
      <c r="G28" s="111"/>
      <c r="H28" s="111"/>
    </row>
    <row r="29" spans="1:11">
      <c r="A29" s="111"/>
      <c r="B29" s="111"/>
      <c r="C29" s="111"/>
      <c r="F29" s="111"/>
      <c r="G29" s="111"/>
      <c r="H29" s="111"/>
    </row>
    <row r="30" spans="1:11">
      <c r="A30" s="111"/>
      <c r="B30" s="120"/>
      <c r="C30" s="120"/>
      <c r="D30" s="167"/>
      <c r="E30" s="167"/>
      <c r="F30" s="111"/>
      <c r="G30" s="111"/>
      <c r="H30" s="111"/>
    </row>
    <row r="31" spans="1:11">
      <c r="A31" s="111"/>
      <c r="B31" s="111"/>
      <c r="C31" s="111"/>
    </row>
    <row r="32" spans="1:11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11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SUM(H18:H33)</f>
        <v>56901.8</v>
      </c>
    </row>
    <row r="36" spans="1:8" ht="13.5" thickTop="1">
      <c r="A36" s="111"/>
      <c r="B36" s="111"/>
      <c r="C36" s="111"/>
      <c r="D36" s="111"/>
      <c r="E36" s="111"/>
    </row>
    <row r="37" spans="1: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Fifty-Six Thousand Nine Hundred One and 80/100 -----------</v>
      </c>
      <c r="C37" s="204"/>
      <c r="D37" s="119"/>
      <c r="E37" s="119"/>
      <c r="F37" s="119"/>
      <c r="G37" s="119"/>
      <c r="H37" s="119"/>
    </row>
    <row r="38" spans="1:8" ht="20.100000000000001" customHeight="1">
      <c r="A38" s="160"/>
      <c r="B38" s="145"/>
      <c r="C38" s="145"/>
      <c r="D38" s="126"/>
      <c r="E38" s="126"/>
      <c r="F38" s="126"/>
      <c r="G38" s="126"/>
      <c r="H38" s="126"/>
    </row>
    <row r="39" spans="1:8" ht="25.5">
      <c r="A39" s="120" t="s">
        <v>3060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310"/>
      <c r="G40" s="311"/>
      <c r="H40" s="311"/>
    </row>
    <row r="41" spans="1:8"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sheetPr codeName="Sheet464">
    <pageSetUpPr fitToPage="1"/>
  </sheetPr>
  <dimension ref="A1:H52"/>
  <sheetViews>
    <sheetView workbookViewId="0">
      <selection activeCell="G9" sqref="G9:G13"/>
    </sheetView>
  </sheetViews>
  <sheetFormatPr defaultRowHeight="12.75"/>
  <cols>
    <col min="1" max="1" width="16" style="111" customWidth="1"/>
    <col min="2" max="2" width="13.7109375" style="111" customWidth="1"/>
    <col min="3" max="3" width="1.28515625" style="111" customWidth="1"/>
    <col min="4" max="4" width="24" style="111" customWidth="1"/>
    <col min="5" max="5" width="1.5703125" style="111" customWidth="1"/>
    <col min="6" max="6" width="16.42578125" style="111" customWidth="1"/>
    <col min="7" max="7" width="9" style="111" customWidth="1"/>
    <col min="8" max="8" width="13.28515625" style="11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A9" s="111" t="s">
        <v>3766</v>
      </c>
      <c r="F9" s="112" t="s">
        <v>1110</v>
      </c>
      <c r="G9" s="111" t="s">
        <v>4329</v>
      </c>
    </row>
    <row r="10" spans="1:8">
      <c r="A10" s="111" t="s">
        <v>4331</v>
      </c>
      <c r="F10" s="112" t="s">
        <v>1685</v>
      </c>
      <c r="G10" s="111" t="s">
        <v>4328</v>
      </c>
    </row>
    <row r="11" spans="1:8">
      <c r="A11" s="111" t="s">
        <v>3768</v>
      </c>
      <c r="F11" s="112" t="s">
        <v>1163</v>
      </c>
      <c r="G11" s="111" t="s">
        <v>1094</v>
      </c>
    </row>
    <row r="12" spans="1:8">
      <c r="A12" s="111" t="s">
        <v>3769</v>
      </c>
      <c r="F12" s="112" t="s">
        <v>1188</v>
      </c>
      <c r="G12" s="111" t="s">
        <v>4330</v>
      </c>
    </row>
    <row r="13" spans="1:8">
      <c r="A13" s="111" t="s">
        <v>3770</v>
      </c>
    </row>
    <row r="16" spans="1:8" s="15" customFormat="1" ht="20.100000000000001" customHeight="1">
      <c r="A16" s="129" t="s">
        <v>1097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73"/>
    </row>
    <row r="18" spans="1:8">
      <c r="D18" s="2" t="s">
        <v>3096</v>
      </c>
      <c r="E18" s="2"/>
    </row>
    <row r="19" spans="1:8">
      <c r="A19" s="173"/>
      <c r="D19" s="2"/>
      <c r="E19" s="2"/>
    </row>
    <row r="20" spans="1:8">
      <c r="A20" s="116" t="s">
        <v>4332</v>
      </c>
      <c r="B20" s="116" t="s">
        <v>4333</v>
      </c>
      <c r="C20" s="116"/>
      <c r="D20" s="111" t="s">
        <v>4334</v>
      </c>
      <c r="H20" s="111">
        <f>190*9</f>
        <v>1710</v>
      </c>
    </row>
    <row r="21" spans="1:8">
      <c r="A21" s="112"/>
    </row>
    <row r="22" spans="1:8">
      <c r="D22" s="111" t="s">
        <v>4335</v>
      </c>
      <c r="H22" s="111">
        <f>290*12</f>
        <v>3480</v>
      </c>
    </row>
    <row r="23" spans="1:8">
      <c r="A23" s="116"/>
      <c r="B23" s="121"/>
      <c r="E23" s="2"/>
    </row>
    <row r="24" spans="1:8">
      <c r="A24" s="116"/>
      <c r="B24" s="116"/>
      <c r="C24" s="116"/>
      <c r="D24" s="111" t="s">
        <v>1814</v>
      </c>
      <c r="H24" s="111">
        <f>SUM(H20+H22)*6%</f>
        <v>311.39999999999998</v>
      </c>
    </row>
    <row r="25" spans="1:8">
      <c r="A25" s="112"/>
    </row>
    <row r="27" spans="1:8">
      <c r="A27" s="116"/>
      <c r="D27" s="2"/>
      <c r="E27" s="2"/>
    </row>
    <row r="29" spans="1:8">
      <c r="A29" s="116"/>
    </row>
    <row r="30" spans="1:8">
      <c r="A30" s="116"/>
      <c r="B30" s="1"/>
      <c r="C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73"/>
      <c r="H32" s="1"/>
    </row>
    <row r="33" spans="1:8" ht="13.5" thickBot="1">
      <c r="A33" s="173"/>
      <c r="H33" s="117">
        <f>SUM(H19:H31)</f>
        <v>5501.4</v>
      </c>
    </row>
    <row r="34" spans="1:8" ht="13.5" thickTop="1">
      <c r="A34" s="173"/>
    </row>
    <row r="35" spans="1:8" ht="20.100000000000001" customHeight="1">
      <c r="A35" s="118" t="s">
        <v>1686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Five Thousand Five Hundred One and 40/100 -----------</v>
      </c>
      <c r="C35" s="202"/>
      <c r="D35" s="119"/>
      <c r="E35" s="119"/>
      <c r="F35" s="119"/>
      <c r="G35" s="119"/>
      <c r="H35" s="119"/>
    </row>
    <row r="36" spans="1:8">
      <c r="A36" s="120"/>
    </row>
    <row r="37" spans="1:8">
      <c r="A37" s="111" t="s">
        <v>10</v>
      </c>
    </row>
    <row r="38" spans="1:8" ht="25.5">
      <c r="F38" s="265" t="s">
        <v>2894</v>
      </c>
      <c r="G38" s="266"/>
      <c r="H38" s="267"/>
    </row>
    <row r="39" spans="1:8">
      <c r="F39" s="309"/>
      <c r="G39" s="309"/>
      <c r="H39" s="309"/>
    </row>
    <row r="40" spans="1:8">
      <c r="A40" s="111" t="s">
        <v>51</v>
      </c>
      <c r="D40" s="121"/>
      <c r="E40" s="121"/>
      <c r="F40" s="310"/>
      <c r="G40" s="311"/>
      <c r="H40" s="311"/>
    </row>
    <row r="41" spans="1:8">
      <c r="A41" s="35"/>
      <c r="B41" s="122"/>
    </row>
    <row r="43" spans="1:8">
      <c r="A43" s="111" t="s">
        <v>8</v>
      </c>
      <c r="F43" s="123" t="s">
        <v>7</v>
      </c>
      <c r="H43" s="124"/>
    </row>
    <row r="47" spans="1:8">
      <c r="A47" s="122"/>
      <c r="B47" s="122"/>
      <c r="F47" s="122"/>
      <c r="G47" s="122"/>
      <c r="H47" s="122"/>
    </row>
    <row r="48" spans="1:8" s="3" customFormat="1" ht="17.100000000000001" customHeight="1">
      <c r="A48" s="111" t="s">
        <v>2948</v>
      </c>
      <c r="B48" s="125"/>
      <c r="C48" s="125"/>
      <c r="D48" s="111"/>
      <c r="E48" s="126"/>
      <c r="F48" s="126" t="s">
        <v>3</v>
      </c>
      <c r="G48" s="126"/>
      <c r="H48" s="126"/>
    </row>
    <row r="49" spans="6:6">
      <c r="F49" s="111" t="s">
        <v>2</v>
      </c>
    </row>
    <row r="51" spans="6:6">
      <c r="F51" s="2" t="s">
        <v>1</v>
      </c>
    </row>
    <row r="52" spans="6:6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sheetPr codeName="Sheet467">
    <pageSetUpPr fitToPage="1"/>
  </sheetPr>
  <dimension ref="A1:H52"/>
  <sheetViews>
    <sheetView topLeftCell="A4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1.42578125" style="111" customWidth="1"/>
    <col min="4" max="4" width="23" style="111" customWidth="1"/>
    <col min="5" max="5" width="1.140625" style="111" customWidth="1"/>
    <col min="6" max="6" width="13.42578125" style="111" customWidth="1"/>
    <col min="7" max="7" width="9.5703125" style="111" customWidth="1"/>
    <col min="8" max="8" width="15.28515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11" t="s">
        <v>4363</v>
      </c>
    </row>
    <row r="10" spans="1:8">
      <c r="A10" s="111" t="s">
        <v>4366</v>
      </c>
      <c r="F10" s="112" t="s">
        <v>1162</v>
      </c>
      <c r="G10" s="112" t="s">
        <v>3001</v>
      </c>
    </row>
    <row r="11" spans="1:8">
      <c r="A11" s="111" t="s">
        <v>4367</v>
      </c>
      <c r="F11" s="112" t="s">
        <v>1163</v>
      </c>
      <c r="G11" s="112" t="s">
        <v>4365</v>
      </c>
    </row>
    <row r="12" spans="1:8">
      <c r="F12" s="112" t="s">
        <v>1135</v>
      </c>
      <c r="G12" s="112" t="s">
        <v>4364</v>
      </c>
    </row>
    <row r="16" spans="1:8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D18" s="111" t="s">
        <v>4368</v>
      </c>
      <c r="H18" s="111">
        <v>10</v>
      </c>
    </row>
    <row r="19" spans="1:8">
      <c r="A19" s="161"/>
      <c r="B19" s="116"/>
      <c r="C19" s="116"/>
    </row>
    <row r="27" spans="1:8">
      <c r="H27" s="2"/>
    </row>
    <row r="28" spans="1:8">
      <c r="B28" s="120"/>
      <c r="C28" s="120"/>
    </row>
    <row r="29" spans="1:8">
      <c r="B29" s="120"/>
      <c r="C29" s="120"/>
    </row>
    <row r="30" spans="1:8">
      <c r="B30" s="120"/>
      <c r="C30" s="120"/>
    </row>
    <row r="31" spans="1:8">
      <c r="B31" s="120"/>
      <c r="C31" s="120"/>
    </row>
    <row r="33" spans="1:8" ht="13.5" thickBot="1">
      <c r="H33" s="127">
        <f>SUM(H18:H32)</f>
        <v>10</v>
      </c>
    </row>
    <row r="34" spans="1:8" ht="13.5" thickTop="1"/>
    <row r="35" spans="1:8" ht="20.100000000000001" customHeight="1">
      <c r="A35" s="118" t="s">
        <v>1133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Ten and NO/100 -----------</v>
      </c>
      <c r="C35" s="202"/>
      <c r="D35" s="119"/>
      <c r="E35" s="119"/>
      <c r="F35" s="119"/>
      <c r="G35" s="119"/>
      <c r="H35" s="261"/>
    </row>
    <row r="36" spans="1:8">
      <c r="A36" s="120"/>
    </row>
    <row r="37" spans="1:8" ht="25.5">
      <c r="A37" s="123" t="s">
        <v>10</v>
      </c>
      <c r="F37" s="265" t="s">
        <v>2894</v>
      </c>
      <c r="G37" s="266"/>
      <c r="H37" s="267"/>
    </row>
    <row r="38" spans="1:8">
      <c r="A38" s="123"/>
    </row>
    <row r="39" spans="1:8">
      <c r="A39" s="126"/>
    </row>
    <row r="40" spans="1:8">
      <c r="A40" s="123"/>
      <c r="D40" s="121"/>
      <c r="E40" s="121"/>
    </row>
    <row r="41" spans="1:8">
      <c r="A41" s="150"/>
      <c r="B41" s="122"/>
    </row>
    <row r="43" spans="1:8">
      <c r="A43" s="123" t="s">
        <v>8</v>
      </c>
      <c r="D43" s="123" t="s">
        <v>8</v>
      </c>
      <c r="F43" s="123" t="s">
        <v>7</v>
      </c>
      <c r="H43" s="124"/>
    </row>
    <row r="44" spans="1:8">
      <c r="A44" s="123"/>
      <c r="D44" s="123"/>
    </row>
    <row r="45" spans="1:8">
      <c r="A45" s="123"/>
      <c r="D45" s="123"/>
    </row>
    <row r="46" spans="1:8">
      <c r="A46" s="123"/>
      <c r="D46" s="123"/>
    </row>
    <row r="47" spans="1:8">
      <c r="A47" s="150"/>
      <c r="B47" s="122"/>
      <c r="D47" s="150"/>
      <c r="F47" s="122"/>
      <c r="G47" s="122"/>
      <c r="H47" s="122"/>
    </row>
    <row r="48" spans="1:8" s="126" customFormat="1" ht="17.100000000000001" customHeight="1">
      <c r="A48" s="151" t="s">
        <v>2948</v>
      </c>
      <c r="B48" s="125"/>
      <c r="C48" s="125"/>
      <c r="D48" s="151" t="s">
        <v>103</v>
      </c>
      <c r="F48" s="126" t="s">
        <v>3</v>
      </c>
    </row>
    <row r="49" spans="1:6">
      <c r="A49" s="123"/>
      <c r="F49" s="111" t="s">
        <v>2</v>
      </c>
    </row>
    <row r="50" spans="1:6">
      <c r="A50" s="151"/>
    </row>
    <row r="51" spans="1:6">
      <c r="F51" s="2" t="s">
        <v>1</v>
      </c>
    </row>
    <row r="52" spans="1:6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sheetPr codeName="Sheet473">
    <pageSetUpPr fitToPage="1"/>
  </sheetPr>
  <dimension ref="A1:H55"/>
  <sheetViews>
    <sheetView workbookViewId="0">
      <selection activeCell="G9" sqref="G9:G13"/>
    </sheetView>
  </sheetViews>
  <sheetFormatPr defaultRowHeight="12.75"/>
  <cols>
    <col min="1" max="1" width="16" style="111" customWidth="1"/>
    <col min="2" max="2" width="12.85546875" style="111" customWidth="1"/>
    <col min="3" max="3" width="1.42578125" style="111" customWidth="1"/>
    <col min="4" max="4" width="21" style="111" customWidth="1"/>
    <col min="5" max="5" width="1.42578125" style="111" customWidth="1"/>
    <col min="6" max="6" width="16.42578125" style="111" customWidth="1"/>
    <col min="7" max="7" width="9.7109375" style="111" customWidth="1"/>
    <col min="8" max="8" width="13.28515625" style="11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A9" s="111" t="s">
        <v>4588</v>
      </c>
      <c r="F9" s="112" t="s">
        <v>1110</v>
      </c>
      <c r="G9" s="132" t="s">
        <v>5796</v>
      </c>
    </row>
    <row r="10" spans="1:8">
      <c r="A10" s="111" t="s">
        <v>4589</v>
      </c>
      <c r="F10" s="112" t="s">
        <v>1685</v>
      </c>
      <c r="G10" s="132" t="s">
        <v>5787</v>
      </c>
    </row>
    <row r="11" spans="1:8">
      <c r="A11" s="111" t="s">
        <v>4183</v>
      </c>
      <c r="F11" s="112" t="s">
        <v>1163</v>
      </c>
      <c r="G11" s="132" t="s">
        <v>1094</v>
      </c>
    </row>
    <row r="12" spans="1:8">
      <c r="A12" s="120" t="s">
        <v>4590</v>
      </c>
      <c r="F12" s="112" t="s">
        <v>1188</v>
      </c>
      <c r="G12" s="120" t="s">
        <v>5797</v>
      </c>
    </row>
    <row r="13" spans="1:8">
      <c r="A13" s="111" t="s">
        <v>4591</v>
      </c>
    </row>
    <row r="16" spans="1:8" s="15" customFormat="1" ht="20.100000000000001" customHeight="1">
      <c r="A16" s="129" t="s">
        <v>1097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73"/>
    </row>
    <row r="18" spans="1:8">
      <c r="A18" s="116"/>
      <c r="B18" s="116"/>
      <c r="C18" s="116"/>
      <c r="D18" s="2" t="s">
        <v>5798</v>
      </c>
      <c r="E18" s="2"/>
    </row>
    <row r="20" spans="1:8">
      <c r="A20" s="116" t="s">
        <v>5799</v>
      </c>
      <c r="B20" s="116" t="s">
        <v>5800</v>
      </c>
      <c r="C20" s="116"/>
      <c r="D20" s="111" t="s">
        <v>5295</v>
      </c>
      <c r="H20" s="111">
        <v>95000</v>
      </c>
    </row>
    <row r="21" spans="1:8">
      <c r="A21" s="116"/>
      <c r="B21" s="116"/>
      <c r="C21" s="116"/>
      <c r="D21" s="111" t="s">
        <v>5297</v>
      </c>
    </row>
    <row r="22" spans="1:8">
      <c r="A22" s="116"/>
      <c r="B22" s="116"/>
      <c r="C22" s="116"/>
      <c r="D22" s="111" t="s">
        <v>5296</v>
      </c>
    </row>
    <row r="23" spans="1:8">
      <c r="A23" s="116"/>
      <c r="B23" s="116"/>
      <c r="C23" s="116"/>
    </row>
    <row r="24" spans="1:8">
      <c r="A24" s="116"/>
      <c r="B24" s="116"/>
      <c r="C24" s="116"/>
      <c r="D24" s="111" t="s">
        <v>5801</v>
      </c>
      <c r="H24" s="111">
        <v>2353</v>
      </c>
    </row>
    <row r="25" spans="1:8">
      <c r="A25" s="116"/>
      <c r="B25" s="116"/>
      <c r="C25" s="116"/>
    </row>
    <row r="26" spans="1:8">
      <c r="A26" s="116"/>
      <c r="B26" s="116"/>
      <c r="C26" s="116"/>
    </row>
    <row r="27" spans="1:8">
      <c r="B27" s="121"/>
      <c r="C27" s="121"/>
    </row>
    <row r="28" spans="1:8">
      <c r="A28" s="116"/>
      <c r="B28" s="116"/>
      <c r="C28" s="116"/>
      <c r="E28" s="2"/>
    </row>
    <row r="30" spans="1:8">
      <c r="A30" s="116"/>
      <c r="B30" s="116"/>
      <c r="C30" s="116"/>
    </row>
    <row r="31" spans="1:8">
      <c r="A31" s="116"/>
      <c r="B31" s="116"/>
      <c r="C31" s="116"/>
    </row>
    <row r="32" spans="1:8">
      <c r="A32" s="116"/>
      <c r="B32" s="116"/>
      <c r="C32" s="116"/>
    </row>
    <row r="33" spans="1:8">
      <c r="A33" s="116"/>
      <c r="B33" s="116"/>
      <c r="C33" s="116"/>
    </row>
    <row r="34" spans="1:8">
      <c r="A34" s="116"/>
      <c r="B34" s="116"/>
      <c r="C34" s="116"/>
    </row>
    <row r="35" spans="1:8" ht="13.5" thickBot="1">
      <c r="A35" s="173"/>
      <c r="H35" s="117">
        <f>SUM(H18:H33)</f>
        <v>97353</v>
      </c>
    </row>
    <row r="36" spans="1:8" ht="13.5" thickTop="1">
      <c r="A36" s="173"/>
    </row>
    <row r="37" spans="1:8" ht="20.100000000000001" customHeight="1">
      <c r="A37" s="118" t="s">
        <v>1686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Ninety-Seven Thousand Three Hundred Fifty-Three and NO/100 -----------</v>
      </c>
      <c r="C37" s="202"/>
      <c r="D37" s="119"/>
      <c r="E37" s="119"/>
      <c r="F37" s="119"/>
      <c r="G37" s="119"/>
      <c r="H37" s="119"/>
    </row>
    <row r="38" spans="1:8">
      <c r="A38" s="120"/>
    </row>
    <row r="39" spans="1:8" ht="25.5">
      <c r="A39" s="111" t="s">
        <v>10</v>
      </c>
      <c r="F39" s="265" t="s">
        <v>2894</v>
      </c>
      <c r="G39" s="266"/>
      <c r="H39" s="267"/>
    </row>
    <row r="41" spans="1:8">
      <c r="F41" s="309"/>
      <c r="G41" s="309"/>
      <c r="H41" s="309"/>
    </row>
    <row r="42" spans="1:8">
      <c r="A42" s="111" t="s">
        <v>51</v>
      </c>
      <c r="E42" s="121"/>
      <c r="F42" s="310"/>
      <c r="G42" s="311"/>
      <c r="H42" s="311"/>
    </row>
    <row r="43" spans="1:8">
      <c r="A43" s="35"/>
      <c r="B43" s="122"/>
    </row>
    <row r="44" spans="1:8">
      <c r="A44" s="1"/>
    </row>
    <row r="45" spans="1:8">
      <c r="A45" s="111" t="s">
        <v>8</v>
      </c>
      <c r="D45" s="111" t="s">
        <v>8</v>
      </c>
    </row>
    <row r="46" spans="1:8">
      <c r="F46" s="123" t="s">
        <v>7</v>
      </c>
      <c r="H46" s="124"/>
    </row>
    <row r="50" spans="1:8">
      <c r="A50" s="122"/>
      <c r="B50" s="122"/>
      <c r="D50" s="122"/>
      <c r="F50" s="122"/>
      <c r="G50" s="122"/>
      <c r="H50" s="122"/>
    </row>
    <row r="51" spans="1:8" s="3" customFormat="1" ht="17.100000000000001" customHeight="1">
      <c r="A51" s="316" t="s">
        <v>3441</v>
      </c>
      <c r="B51" s="125"/>
      <c r="C51" s="125"/>
      <c r="D51" s="316" t="s">
        <v>103</v>
      </c>
      <c r="E51" s="126"/>
      <c r="F51" s="126" t="s">
        <v>3</v>
      </c>
      <c r="G51" s="126"/>
      <c r="H51" s="126"/>
    </row>
    <row r="52" spans="1:8">
      <c r="F52" s="111" t="s">
        <v>2</v>
      </c>
    </row>
    <row r="54" spans="1:8">
      <c r="F54" s="2" t="s">
        <v>1</v>
      </c>
    </row>
    <row r="55" spans="1:8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sheetPr codeName="Sheet481"/>
  <dimension ref="A1:G60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3.85546875" style="227" customWidth="1"/>
    <col min="3" max="3" width="19.85546875" style="227" customWidth="1"/>
    <col min="4" max="4" width="16.42578125" style="227" customWidth="1"/>
    <col min="5" max="5" width="8.140625" style="227" customWidth="1"/>
    <col min="6" max="6" width="13.28515625" style="227" customWidth="1"/>
    <col min="7" max="7" width="16.140625" style="209" customWidth="1"/>
    <col min="8" max="16384" width="9.140625" style="209"/>
  </cols>
  <sheetData>
    <row r="1" spans="1:7" ht="15" customHeight="1">
      <c r="A1" s="531" t="s">
        <v>26</v>
      </c>
      <c r="B1" s="531"/>
      <c r="C1" s="531"/>
      <c r="D1" s="531"/>
      <c r="E1" s="531"/>
      <c r="F1" s="531"/>
    </row>
    <row r="2" spans="1:7" ht="12.75" customHeight="1">
      <c r="A2" s="532" t="s">
        <v>25</v>
      </c>
      <c r="B2" s="532"/>
      <c r="C2" s="532"/>
      <c r="D2" s="532"/>
      <c r="E2" s="532"/>
      <c r="F2" s="532"/>
    </row>
    <row r="3" spans="1:7" ht="12.75" customHeight="1">
      <c r="A3" s="532" t="s">
        <v>1480</v>
      </c>
      <c r="B3" s="532"/>
      <c r="C3" s="532"/>
      <c r="D3" s="532"/>
      <c r="E3" s="532"/>
      <c r="F3" s="532"/>
    </row>
    <row r="4" spans="1:7" ht="12.75" customHeight="1">
      <c r="A4" s="532" t="s">
        <v>1684</v>
      </c>
      <c r="B4" s="532"/>
      <c r="C4" s="532"/>
      <c r="D4" s="532"/>
      <c r="E4" s="532"/>
      <c r="F4" s="532"/>
    </row>
    <row r="5" spans="1:7" ht="12.75" customHeight="1">
      <c r="A5" s="131"/>
      <c r="B5" s="131"/>
      <c r="C5" s="131"/>
      <c r="D5" s="131"/>
      <c r="E5" s="131"/>
      <c r="F5" s="131"/>
    </row>
    <row r="6" spans="1:7" ht="12.75" customHeight="1">
      <c r="A6" s="131"/>
      <c r="B6" s="131"/>
      <c r="C6" s="131"/>
      <c r="D6" s="131"/>
      <c r="E6" s="131"/>
      <c r="F6" s="131"/>
    </row>
    <row r="7" spans="1:7" ht="12.75" customHeight="1">
      <c r="A7" s="131"/>
      <c r="B7" s="131"/>
      <c r="C7" s="131"/>
      <c r="D7" s="131"/>
      <c r="E7" s="131"/>
      <c r="F7" s="131"/>
    </row>
    <row r="8" spans="1:7" s="211" customFormat="1" ht="12.75" customHeight="1">
      <c r="A8" s="147" t="s">
        <v>24</v>
      </c>
      <c r="B8" s="147"/>
      <c r="C8" s="147"/>
      <c r="D8" s="210" t="s">
        <v>23</v>
      </c>
      <c r="E8" s="147"/>
      <c r="F8" s="147"/>
    </row>
    <row r="9" spans="1:7" s="211" customFormat="1" ht="12.75" customHeight="1">
      <c r="A9" s="147"/>
      <c r="B9" s="147"/>
      <c r="C9" s="147"/>
      <c r="D9" s="212" t="s">
        <v>1723</v>
      </c>
      <c r="E9" s="131" t="s">
        <v>4658</v>
      </c>
      <c r="F9" s="131"/>
    </row>
    <row r="10" spans="1:7" s="211" customFormat="1" ht="12.75" customHeight="1">
      <c r="A10" s="147" t="s">
        <v>4655</v>
      </c>
      <c r="B10" s="147"/>
      <c r="C10" s="147"/>
      <c r="D10" s="212" t="s">
        <v>1340</v>
      </c>
      <c r="E10" s="143" t="s">
        <v>4660</v>
      </c>
      <c r="F10" s="131"/>
    </row>
    <row r="11" spans="1:7" s="211" customFormat="1" ht="12.75" customHeight="1">
      <c r="A11" s="147" t="s">
        <v>4656</v>
      </c>
      <c r="B11" s="147"/>
      <c r="C11" s="147"/>
      <c r="D11" s="212" t="s">
        <v>1341</v>
      </c>
      <c r="E11" s="132" t="s">
        <v>1094</v>
      </c>
      <c r="F11" s="131"/>
    </row>
    <row r="12" spans="1:7" s="211" customFormat="1" ht="12.75" customHeight="1">
      <c r="A12" s="147" t="s">
        <v>4024</v>
      </c>
      <c r="B12" s="147"/>
      <c r="C12" s="147"/>
      <c r="D12" s="212" t="s">
        <v>2136</v>
      </c>
      <c r="E12" s="140" t="s">
        <v>4659</v>
      </c>
      <c r="F12" s="131"/>
    </row>
    <row r="13" spans="1:7" s="211" customFormat="1" ht="12.75" customHeight="1">
      <c r="A13" s="147" t="s">
        <v>1308</v>
      </c>
      <c r="B13" s="147"/>
      <c r="C13" s="147"/>
      <c r="D13" s="147"/>
      <c r="E13" s="131"/>
      <c r="F13" s="147"/>
    </row>
    <row r="14" spans="1:7" s="211" customFormat="1" ht="12.75" customHeight="1">
      <c r="A14" s="147" t="s">
        <v>4657</v>
      </c>
      <c r="B14" s="147"/>
      <c r="C14" s="147"/>
      <c r="D14" s="147"/>
      <c r="E14" s="147"/>
      <c r="F14" s="147"/>
    </row>
    <row r="15" spans="1:7" s="213" customFormat="1" ht="12.75" customHeight="1">
      <c r="A15" s="147"/>
      <c r="B15" s="147"/>
      <c r="C15" s="147"/>
      <c r="D15" s="147"/>
      <c r="E15" s="147"/>
      <c r="F15" s="147"/>
    </row>
    <row r="16" spans="1:7" s="213" customFormat="1">
      <c r="A16" s="91" t="s">
        <v>1122</v>
      </c>
      <c r="B16" s="91" t="s">
        <v>1098</v>
      </c>
      <c r="C16" s="92" t="s">
        <v>14</v>
      </c>
      <c r="D16" s="90"/>
      <c r="E16" s="91"/>
      <c r="F16" s="94" t="s">
        <v>13</v>
      </c>
      <c r="G16" s="214"/>
    </row>
    <row r="17" spans="1:7" s="213" customFormat="1" ht="12.75" customHeight="1">
      <c r="A17" s="215"/>
      <c r="B17" s="216"/>
      <c r="C17" s="217"/>
      <c r="D17" s="216"/>
      <c r="E17" s="218"/>
      <c r="F17" s="219"/>
      <c r="G17" s="214"/>
    </row>
    <row r="18" spans="1:7" s="213" customFormat="1" ht="12.75" customHeight="1">
      <c r="A18" s="222" t="s">
        <v>4661</v>
      </c>
      <c r="B18" s="281" t="s">
        <v>4662</v>
      </c>
      <c r="C18" s="145" t="s">
        <v>4663</v>
      </c>
      <c r="D18" s="145"/>
      <c r="E18" s="145"/>
      <c r="F18" s="320">
        <v>700</v>
      </c>
      <c r="G18" s="318"/>
    </row>
    <row r="19" spans="1:7" s="213" customFormat="1" ht="12.75" customHeight="1">
      <c r="A19" s="222"/>
      <c r="B19" s="281"/>
      <c r="C19" s="145" t="s">
        <v>4664</v>
      </c>
      <c r="D19" s="211"/>
      <c r="E19" s="211"/>
      <c r="F19" s="322"/>
      <c r="G19" s="318"/>
    </row>
    <row r="20" spans="1:7" s="213" customFormat="1" ht="12.75" customHeight="1">
      <c r="A20" s="222"/>
      <c r="B20" s="281"/>
      <c r="C20" s="147" t="s">
        <v>1814</v>
      </c>
      <c r="D20" s="147"/>
      <c r="E20" s="147"/>
      <c r="F20" s="322">
        <f>F18*6%</f>
        <v>42</v>
      </c>
      <c r="G20" s="224"/>
    </row>
    <row r="21" spans="1:7" s="213" customFormat="1" ht="12.75" customHeight="1"/>
    <row r="22" spans="1:7" s="224" customFormat="1" ht="12.75" customHeight="1"/>
    <row r="23" spans="1:7" s="224" customFormat="1" ht="12.75" customHeight="1">
      <c r="A23" s="222"/>
      <c r="B23" s="281"/>
      <c r="C23" s="95"/>
      <c r="D23" s="147"/>
      <c r="E23" s="147"/>
      <c r="F23" s="322"/>
    </row>
    <row r="24" spans="1:7" s="224" customFormat="1" ht="12.75" customHeight="1">
      <c r="A24" s="222"/>
      <c r="B24" s="281"/>
      <c r="C24" s="147"/>
      <c r="D24" s="147"/>
      <c r="E24" s="147"/>
      <c r="F24" s="322"/>
    </row>
    <row r="25" spans="1:7" s="224" customFormat="1" ht="12.75" customHeight="1">
      <c r="A25" s="222"/>
      <c r="B25" s="281"/>
      <c r="C25" s="147"/>
      <c r="D25" s="147"/>
      <c r="E25" s="147"/>
      <c r="F25" s="322"/>
    </row>
    <row r="26" spans="1:7" s="224" customFormat="1" ht="12.75" customHeight="1">
      <c r="A26" s="222"/>
      <c r="B26" s="281"/>
      <c r="C26" s="147"/>
      <c r="F26" s="322"/>
    </row>
    <row r="27" spans="1:7" s="227" customFormat="1" ht="12.75" customHeight="1">
      <c r="A27" s="281"/>
      <c r="B27" s="281"/>
      <c r="C27" s="147"/>
      <c r="D27" s="224"/>
      <c r="E27" s="224"/>
      <c r="F27" s="322"/>
    </row>
    <row r="28" spans="1:7" s="227" customFormat="1" ht="12.75" customHeight="1">
      <c r="C28" s="95"/>
      <c r="D28" s="224"/>
      <c r="E28" s="224"/>
      <c r="F28" s="322"/>
    </row>
    <row r="29" spans="1:7" s="227" customFormat="1" ht="12.75" customHeight="1">
      <c r="A29" s="281"/>
      <c r="B29" s="281"/>
      <c r="C29" s="147"/>
      <c r="D29" s="224"/>
      <c r="E29" s="224"/>
      <c r="F29" s="322"/>
    </row>
    <row r="30" spans="1:7" s="227" customFormat="1" ht="12.75" customHeight="1">
      <c r="A30" s="281"/>
      <c r="B30" s="281"/>
      <c r="C30" s="147"/>
      <c r="D30" s="224"/>
      <c r="E30" s="224"/>
      <c r="F30" s="322"/>
    </row>
    <row r="31" spans="1:7" s="227" customFormat="1" ht="12.75" customHeight="1">
      <c r="A31" s="281"/>
      <c r="B31" s="281"/>
      <c r="C31" s="147"/>
      <c r="D31" s="224"/>
      <c r="E31" s="224"/>
      <c r="F31" s="322"/>
    </row>
    <row r="32" spans="1:7" ht="12.75" customHeight="1">
      <c r="A32" s="222"/>
      <c r="B32" s="281"/>
      <c r="C32" s="147"/>
      <c r="F32" s="147"/>
    </row>
    <row r="33" spans="1:7" s="211" customFormat="1" ht="12.75" customHeight="1">
      <c r="A33" s="222"/>
      <c r="B33" s="281"/>
      <c r="C33" s="147"/>
      <c r="D33" s="147"/>
      <c r="E33" s="147"/>
      <c r="F33" s="147"/>
      <c r="G33" s="221"/>
    </row>
    <row r="34" spans="1:7" s="211" customFormat="1" ht="12.75" customHeight="1">
      <c r="A34" s="222"/>
      <c r="B34" s="281"/>
      <c r="C34" s="147"/>
      <c r="D34" s="147"/>
      <c r="E34" s="147"/>
      <c r="F34" s="147"/>
      <c r="G34" s="221"/>
    </row>
    <row r="35" spans="1:7" s="211" customFormat="1" ht="15.75" customHeight="1" thickBot="1">
      <c r="A35" s="229"/>
      <c r="B35" s="224"/>
      <c r="C35" s="224"/>
      <c r="D35" s="224"/>
      <c r="E35" s="224"/>
      <c r="F35" s="230">
        <f>SUM(F18:F33)</f>
        <v>742</v>
      </c>
      <c r="G35" s="221"/>
    </row>
    <row r="36" spans="1:7" s="211" customFormat="1" ht="12.75" customHeight="1" thickTop="1">
      <c r="A36" s="229"/>
      <c r="B36" s="224"/>
      <c r="C36" s="224"/>
      <c r="D36" s="224"/>
      <c r="E36" s="224"/>
      <c r="F36" s="224"/>
      <c r="G36" s="221"/>
    </row>
    <row r="37" spans="1:7" ht="20.100000000000001" customHeight="1">
      <c r="A37" s="138" t="s">
        <v>1133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Seven Hundred Forty-Two and NO/100 -----------</v>
      </c>
      <c r="C37" s="231"/>
      <c r="D37" s="231"/>
      <c r="E37" s="231"/>
      <c r="F37" s="231"/>
    </row>
    <row r="38" spans="1:7" ht="12.75" customHeight="1">
      <c r="A38" s="232"/>
    </row>
    <row r="39" spans="1:7" ht="27" customHeight="1">
      <c r="A39" s="131" t="s">
        <v>10</v>
      </c>
      <c r="B39" s="131"/>
      <c r="C39" s="131"/>
      <c r="D39" s="283" t="s">
        <v>2894</v>
      </c>
      <c r="E39" s="284"/>
      <c r="F39" s="285"/>
    </row>
    <row r="40" spans="1:7" ht="12.75" customHeight="1">
      <c r="A40" s="131"/>
      <c r="B40" s="131"/>
      <c r="C40" s="131"/>
      <c r="D40" s="131"/>
      <c r="E40" s="131"/>
      <c r="F40" s="131"/>
    </row>
    <row r="41" spans="1:7" ht="12.75" customHeight="1">
      <c r="A41" s="131"/>
      <c r="B41" s="131"/>
      <c r="C41" s="131"/>
      <c r="D41" s="131"/>
      <c r="E41" s="131"/>
      <c r="F41" s="131"/>
    </row>
    <row r="42" spans="1:7">
      <c r="A42" s="301"/>
      <c r="B42" s="131"/>
      <c r="C42" s="131"/>
      <c r="D42" s="291"/>
      <c r="E42" s="291"/>
      <c r="F42" s="291"/>
    </row>
    <row r="43" spans="1:7">
      <c r="A43" s="248"/>
      <c r="B43" s="142"/>
      <c r="C43" s="131"/>
      <c r="D43" s="286"/>
      <c r="E43" s="287"/>
      <c r="F43" s="287"/>
    </row>
    <row r="44" spans="1:7" ht="12.75" customHeight="1">
      <c r="A44" s="301"/>
      <c r="B44" s="301"/>
      <c r="C44" s="131"/>
      <c r="D44" s="131"/>
      <c r="E44" s="131"/>
      <c r="F44" s="144"/>
    </row>
    <row r="45" spans="1:7" ht="12.75" customHeight="1">
      <c r="A45" s="301"/>
      <c r="B45" s="301"/>
      <c r="C45" s="131"/>
      <c r="D45" s="131"/>
      <c r="E45" s="131"/>
      <c r="F45" s="144"/>
    </row>
    <row r="46" spans="1:7" ht="12.75" customHeight="1">
      <c r="A46" s="143" t="s">
        <v>8</v>
      </c>
      <c r="B46" s="131"/>
      <c r="C46" s="131"/>
      <c r="D46" s="131"/>
      <c r="E46" s="131"/>
      <c r="F46" s="131"/>
    </row>
    <row r="47" spans="1:7" ht="12.75" customHeight="1">
      <c r="A47" s="301"/>
      <c r="B47" s="131"/>
      <c r="C47" s="131"/>
      <c r="D47" s="143" t="s">
        <v>7</v>
      </c>
      <c r="E47" s="131"/>
      <c r="F47" s="131"/>
    </row>
    <row r="48" spans="1:7" ht="12.75" customHeight="1">
      <c r="A48" s="143"/>
      <c r="B48" s="131"/>
      <c r="C48" s="131"/>
      <c r="D48" s="131"/>
      <c r="E48" s="131"/>
      <c r="F48" s="131"/>
    </row>
    <row r="49" spans="1:6" ht="12.75" customHeight="1">
      <c r="A49" s="143"/>
      <c r="B49" s="131"/>
      <c r="C49" s="131"/>
      <c r="D49" s="131"/>
      <c r="E49" s="131"/>
      <c r="F49" s="131"/>
    </row>
    <row r="50" spans="1:6" s="211" customFormat="1" ht="12.75" customHeight="1">
      <c r="A50" s="143"/>
      <c r="B50" s="131"/>
      <c r="C50" s="131"/>
      <c r="D50" s="131"/>
      <c r="E50" s="147"/>
      <c r="F50" s="147"/>
    </row>
    <row r="51" spans="1:6" ht="12.75" customHeight="1">
      <c r="A51" s="248"/>
      <c r="B51" s="142"/>
      <c r="C51" s="131"/>
      <c r="D51" s="142"/>
      <c r="E51" s="142"/>
      <c r="F51" s="142"/>
    </row>
    <row r="52" spans="1:6" ht="15" customHeight="1">
      <c r="A52" s="143" t="s">
        <v>2948</v>
      </c>
      <c r="B52" s="146"/>
      <c r="C52" s="147"/>
      <c r="D52" s="147" t="s">
        <v>3</v>
      </c>
      <c r="E52" s="131"/>
      <c r="F52" s="131"/>
    </row>
    <row r="53" spans="1:6" ht="12.75" customHeight="1">
      <c r="A53" s="143"/>
      <c r="B53" s="131"/>
      <c r="C53" s="131"/>
      <c r="D53" s="131" t="s">
        <v>2</v>
      </c>
      <c r="E53" s="131"/>
      <c r="F53" s="131"/>
    </row>
    <row r="54" spans="1:6" ht="12.75" customHeight="1">
      <c r="A54" s="131"/>
      <c r="B54" s="131"/>
      <c r="C54" s="131"/>
      <c r="D54" s="131"/>
      <c r="E54" s="131"/>
      <c r="F54" s="131"/>
    </row>
    <row r="55" spans="1:6" ht="12.75" customHeight="1">
      <c r="A55" s="131"/>
      <c r="B55" s="131"/>
      <c r="C55" s="131"/>
      <c r="D55" s="110" t="s">
        <v>1</v>
      </c>
      <c r="E55" s="131"/>
      <c r="F55" s="131"/>
    </row>
    <row r="56" spans="1:6" ht="12.75" customHeight="1">
      <c r="A56" s="131"/>
      <c r="B56" s="131"/>
      <c r="C56" s="131"/>
      <c r="D56" s="110" t="s">
        <v>0</v>
      </c>
      <c r="E56" s="131"/>
      <c r="F56" s="131"/>
    </row>
    <row r="57" spans="1:6" ht="12.75" customHeight="1">
      <c r="A57" s="131"/>
      <c r="B57" s="131"/>
      <c r="C57" s="131"/>
      <c r="D57" s="131"/>
      <c r="E57" s="131"/>
      <c r="F57" s="131"/>
    </row>
    <row r="58" spans="1:6" ht="12.75" customHeight="1">
      <c r="A58" s="131"/>
      <c r="B58" s="131"/>
      <c r="C58" s="131"/>
      <c r="D58" s="131"/>
      <c r="E58" s="131"/>
      <c r="F58" s="131"/>
    </row>
    <row r="59" spans="1:6">
      <c r="A59" s="131"/>
      <c r="B59" s="131"/>
      <c r="C59" s="131"/>
      <c r="D59" s="131"/>
      <c r="E59" s="131"/>
      <c r="F59" s="131"/>
    </row>
    <row r="60" spans="1:6">
      <c r="A60" s="131"/>
      <c r="B60" s="131"/>
      <c r="C60" s="131"/>
      <c r="D60" s="131"/>
      <c r="E60" s="131"/>
      <c r="F60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sheetPr codeName="Sheet482">
    <pageSetUpPr fitToPage="1"/>
  </sheetPr>
  <dimension ref="A1:H55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1.7109375" style="1" customWidth="1"/>
    <col min="4" max="4" width="23" style="1" customWidth="1"/>
    <col min="5" max="5" width="1" style="1" customWidth="1"/>
    <col min="6" max="6" width="15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26" t="s">
        <v>4943</v>
      </c>
      <c r="H9" s="111"/>
    </row>
    <row r="10" spans="1:8">
      <c r="A10" s="111" t="s">
        <v>4772</v>
      </c>
      <c r="B10" s="111"/>
      <c r="C10" s="111"/>
      <c r="D10" s="111"/>
      <c r="E10" s="111"/>
      <c r="F10" s="112" t="s">
        <v>1162</v>
      </c>
      <c r="G10" s="160" t="s">
        <v>4941</v>
      </c>
      <c r="H10" s="111"/>
    </row>
    <row r="11" spans="1:8">
      <c r="A11" s="111" t="s">
        <v>4773</v>
      </c>
      <c r="B11" s="111"/>
      <c r="C11" s="111"/>
      <c r="D11" s="111"/>
      <c r="E11" s="111"/>
      <c r="F11" s="112" t="s">
        <v>1163</v>
      </c>
      <c r="G11" s="160" t="s">
        <v>1094</v>
      </c>
      <c r="H11" s="111"/>
    </row>
    <row r="12" spans="1:8">
      <c r="A12" s="111" t="s">
        <v>4774</v>
      </c>
      <c r="B12" s="111"/>
      <c r="C12" s="111"/>
      <c r="D12" s="111"/>
      <c r="E12" s="111"/>
      <c r="F12" s="112" t="s">
        <v>1096</v>
      </c>
      <c r="G12" s="160" t="s">
        <v>4944</v>
      </c>
      <c r="H12" s="111"/>
    </row>
    <row r="13" spans="1:8">
      <c r="A13" s="111" t="s">
        <v>1365</v>
      </c>
      <c r="B13" s="111"/>
      <c r="C13" s="111"/>
      <c r="D13" s="111"/>
      <c r="E13" s="111"/>
      <c r="F13" s="111"/>
      <c r="G13" s="13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168" t="s">
        <v>4735</v>
      </c>
      <c r="E18" s="168"/>
      <c r="F18" s="111"/>
      <c r="G18" s="111"/>
      <c r="H18" s="111"/>
    </row>
    <row r="19" spans="1:8">
      <c r="B19" s="116"/>
      <c r="C19" s="116"/>
      <c r="F19" s="111"/>
      <c r="G19" s="111"/>
      <c r="H19" s="111"/>
    </row>
    <row r="20" spans="1:8">
      <c r="A20" s="255" t="s">
        <v>4945</v>
      </c>
      <c r="B20" s="116" t="s">
        <v>4946</v>
      </c>
      <c r="C20" s="116"/>
      <c r="D20" s="120" t="s">
        <v>4947</v>
      </c>
      <c r="E20" s="120"/>
      <c r="F20" s="111"/>
      <c r="G20" s="111"/>
      <c r="H20" s="111">
        <v>14502</v>
      </c>
    </row>
    <row r="21" spans="1:8">
      <c r="A21" s="112"/>
      <c r="B21" s="111"/>
      <c r="C21" s="111"/>
      <c r="D21" s="111" t="s">
        <v>4948</v>
      </c>
      <c r="E21" s="111"/>
      <c r="F21" s="111"/>
      <c r="G21" s="111"/>
      <c r="H21" s="111"/>
    </row>
    <row r="22" spans="1:8">
      <c r="A22" s="111"/>
      <c r="B22" s="111"/>
      <c r="C22" s="111"/>
      <c r="D22" s="111"/>
      <c r="E22" s="111"/>
      <c r="F22" s="111"/>
      <c r="G22" s="111"/>
      <c r="H22" s="111"/>
    </row>
    <row r="23" spans="1:8">
      <c r="A23" s="111"/>
      <c r="B23" s="111"/>
      <c r="C23" s="111"/>
      <c r="D23" s="111"/>
      <c r="E23" s="111"/>
      <c r="F23" s="111"/>
      <c r="G23" s="111"/>
      <c r="H23" s="111"/>
    </row>
    <row r="24" spans="1:8">
      <c r="A24" s="116"/>
      <c r="B24" s="121"/>
      <c r="C24" s="111"/>
      <c r="D24" s="111"/>
      <c r="H24" s="111"/>
    </row>
    <row r="25" spans="1:8">
      <c r="A25" s="111"/>
      <c r="B25" s="111"/>
      <c r="C25" s="111"/>
      <c r="D25" s="111"/>
      <c r="E25" s="111"/>
      <c r="F25" s="111"/>
      <c r="G25" s="111"/>
      <c r="H25" s="111"/>
    </row>
    <row r="26" spans="1:8">
      <c r="A26" s="111"/>
      <c r="B26" s="111"/>
      <c r="C26" s="111"/>
      <c r="D26" s="111"/>
      <c r="E26" s="111"/>
      <c r="F26" s="111"/>
      <c r="G26" s="111"/>
      <c r="H26" s="111"/>
    </row>
    <row r="27" spans="1:8">
      <c r="A27" s="111"/>
      <c r="B27" s="111"/>
      <c r="C27" s="111"/>
      <c r="D27" s="111"/>
      <c r="E27" s="111"/>
      <c r="F27" s="111"/>
      <c r="G27" s="111"/>
      <c r="H27" s="111"/>
    </row>
    <row r="28" spans="1:8">
      <c r="A28" s="111"/>
      <c r="B28" s="111"/>
      <c r="C28" s="111"/>
      <c r="D28" s="111"/>
      <c r="E28" s="111"/>
      <c r="F28" s="111"/>
      <c r="G28" s="111"/>
      <c r="H28" s="111"/>
    </row>
    <row r="29" spans="1:8">
      <c r="A29" s="111"/>
      <c r="B29" s="111"/>
      <c r="C29" s="111"/>
      <c r="D29" s="111"/>
      <c r="E29" s="111"/>
      <c r="F29" s="111"/>
      <c r="G29" s="111"/>
      <c r="H29" s="111"/>
    </row>
    <row r="30" spans="1:8">
      <c r="A30" s="111"/>
      <c r="B30" s="111"/>
      <c r="C30" s="111"/>
      <c r="D30" s="111"/>
      <c r="E30" s="111"/>
      <c r="F30" s="111"/>
      <c r="G30" s="111"/>
      <c r="H30" s="111"/>
    </row>
    <row r="31" spans="1:8">
      <c r="A31" s="111"/>
      <c r="B31" s="111"/>
      <c r="C31" s="111"/>
      <c r="D31" s="111"/>
      <c r="E31" s="111"/>
      <c r="F31" s="111"/>
      <c r="G31" s="111"/>
      <c r="H31" s="111"/>
    </row>
    <row r="32" spans="1:8">
      <c r="A32" s="111"/>
      <c r="B32" s="111"/>
      <c r="C32" s="111"/>
      <c r="D32" s="111"/>
      <c r="E32" s="111"/>
      <c r="F32" s="111"/>
      <c r="G32" s="111"/>
    </row>
    <row r="33" spans="1:8" ht="13.5" thickBot="1">
      <c r="A33" s="111"/>
      <c r="B33" s="111"/>
      <c r="C33" s="111"/>
      <c r="D33" s="111"/>
      <c r="E33" s="111"/>
      <c r="F33" s="111"/>
      <c r="G33" s="111"/>
      <c r="H33" s="117">
        <f>SUM(H20:H32)</f>
        <v>14502</v>
      </c>
    </row>
    <row r="34" spans="1:8" ht="13.5" thickTop="1">
      <c r="A34" s="111"/>
      <c r="B34" s="111"/>
      <c r="C34" s="111"/>
      <c r="D34" s="111"/>
      <c r="E34" s="111"/>
      <c r="F34" s="111"/>
      <c r="G34" s="111"/>
      <c r="H34" s="111"/>
    </row>
    <row r="35" spans="1:8" ht="20.100000000000001" customHeight="1">
      <c r="A35" s="118" t="s">
        <v>1133</v>
      </c>
      <c r="B35" s="204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Fourteen Thousand Five Hundred Two and NO/100 -----------</v>
      </c>
      <c r="C35" s="118"/>
      <c r="D35" s="119"/>
      <c r="E35" s="119"/>
      <c r="F35" s="119"/>
      <c r="G35" s="119"/>
      <c r="H35" s="119"/>
    </row>
    <row r="36" spans="1:8">
      <c r="A36" s="120" t="s">
        <v>11</v>
      </c>
      <c r="B36" s="111"/>
      <c r="C36" s="111"/>
      <c r="D36" s="111"/>
      <c r="E36" s="111"/>
      <c r="F36" s="111"/>
      <c r="G36" s="111"/>
      <c r="H36" s="111"/>
    </row>
    <row r="37" spans="1:8">
      <c r="A37" s="111" t="s">
        <v>10</v>
      </c>
      <c r="B37" s="111"/>
      <c r="C37" s="111"/>
      <c r="D37" s="123"/>
      <c r="E37" s="111"/>
      <c r="F37" s="111"/>
      <c r="G37" s="111"/>
      <c r="H37" s="111"/>
    </row>
    <row r="38" spans="1:8">
      <c r="A38" s="111"/>
      <c r="B38" s="111"/>
      <c r="C38" s="111"/>
      <c r="D38" s="111"/>
      <c r="E38" s="111"/>
      <c r="F38" s="111"/>
      <c r="G38" s="111"/>
      <c r="H38" s="111"/>
    </row>
    <row r="39" spans="1:8" ht="25.5">
      <c r="A39" s="126"/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21"/>
      <c r="F40" s="111"/>
      <c r="G40" s="111"/>
      <c r="H40" s="111"/>
    </row>
    <row r="41" spans="1:8">
      <c r="A41" s="122"/>
      <c r="B41" s="122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51"/>
      <c r="E42" s="111"/>
      <c r="F42" s="111"/>
      <c r="G42" s="111"/>
      <c r="H42" s="111"/>
    </row>
    <row r="43" spans="1:8">
      <c r="A43" s="111"/>
      <c r="B43" s="111"/>
      <c r="C43" s="111"/>
      <c r="D43" s="151"/>
      <c r="E43" s="111"/>
      <c r="F43" s="111"/>
      <c r="G43" s="111"/>
      <c r="H43" s="111"/>
    </row>
    <row r="44" spans="1:8">
      <c r="A44" s="123" t="s">
        <v>8</v>
      </c>
      <c r="B44" s="111"/>
      <c r="C44" s="111"/>
      <c r="D44" s="123" t="s">
        <v>8</v>
      </c>
      <c r="E44" s="111"/>
      <c r="F44" s="123" t="s">
        <v>7</v>
      </c>
      <c r="G44" s="111"/>
      <c r="H44" s="124"/>
    </row>
    <row r="45" spans="1:8">
      <c r="A45" s="111"/>
      <c r="B45" s="111"/>
      <c r="C45" s="111"/>
      <c r="D45" s="111"/>
      <c r="E45" s="111"/>
      <c r="F45" s="111"/>
      <c r="G45" s="111"/>
      <c r="H45" s="111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22"/>
      <c r="B48" s="122"/>
      <c r="C48" s="111"/>
      <c r="D48" s="122"/>
      <c r="E48" s="111"/>
      <c r="F48" s="122"/>
      <c r="G48" s="122"/>
      <c r="H48" s="122"/>
    </row>
    <row r="49" spans="1:8" s="3" customFormat="1" ht="17.100000000000001" customHeight="1">
      <c r="A49" s="151" t="s">
        <v>2948</v>
      </c>
      <c r="B49" s="125"/>
      <c r="C49" s="125"/>
      <c r="D49" s="151" t="s">
        <v>103</v>
      </c>
      <c r="E49" s="126"/>
      <c r="F49" s="126" t="s">
        <v>3</v>
      </c>
      <c r="G49" s="126"/>
      <c r="H49" s="126"/>
    </row>
    <row r="50" spans="1:8">
      <c r="A50" s="111"/>
      <c r="B50" s="111"/>
      <c r="C50" s="111"/>
      <c r="D50" s="111"/>
      <c r="E50" s="111"/>
      <c r="F50" s="111" t="s">
        <v>2</v>
      </c>
      <c r="G50" s="111"/>
      <c r="H50" s="111"/>
    </row>
    <row r="51" spans="1:8">
      <c r="A51" s="151"/>
      <c r="B51" s="111"/>
      <c r="C51" s="111"/>
      <c r="D51" s="111"/>
      <c r="E51" s="111"/>
      <c r="F51" s="111"/>
      <c r="G51" s="111"/>
      <c r="H51" s="111"/>
    </row>
    <row r="52" spans="1:8">
      <c r="A52" s="111"/>
      <c r="B52" s="111"/>
      <c r="C52" s="111"/>
      <c r="D52" s="111"/>
      <c r="E52" s="111"/>
      <c r="F52" s="2" t="s">
        <v>1</v>
      </c>
      <c r="G52" s="111"/>
      <c r="H52" s="111"/>
    </row>
    <row r="53" spans="1:8">
      <c r="A53" s="111"/>
      <c r="B53" s="111"/>
      <c r="C53" s="111"/>
      <c r="D53" s="111"/>
      <c r="E53" s="111"/>
      <c r="F53" s="2" t="s">
        <v>0</v>
      </c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sheetPr codeName="Sheet483">
    <pageSetUpPr fitToPage="1"/>
  </sheetPr>
  <dimension ref="A1:O57"/>
  <sheetViews>
    <sheetView zoomScaleNormal="100" workbookViewId="0">
      <selection activeCell="G9" sqref="G9:G13"/>
    </sheetView>
  </sheetViews>
  <sheetFormatPr defaultRowHeight="12.75"/>
  <cols>
    <col min="1" max="1" width="16" style="374" customWidth="1"/>
    <col min="2" max="2" width="13.42578125" style="374" customWidth="1"/>
    <col min="3" max="3" width="1.28515625" style="374" customWidth="1"/>
    <col min="4" max="4" width="21" style="374" customWidth="1"/>
    <col min="5" max="5" width="0.85546875" style="374" customWidth="1"/>
    <col min="6" max="6" width="12.42578125" style="374" customWidth="1"/>
    <col min="7" max="7" width="8.7109375" style="374" customWidth="1"/>
    <col min="8" max="8" width="13.28515625" style="374" customWidth="1"/>
    <col min="9" max="16384" width="9.140625" style="373"/>
  </cols>
  <sheetData>
    <row r="1" spans="1:14" ht="15">
      <c r="A1" s="534" t="s">
        <v>26</v>
      </c>
      <c r="B1" s="534"/>
      <c r="C1" s="534"/>
      <c r="D1" s="534"/>
      <c r="E1" s="534"/>
      <c r="F1" s="534"/>
      <c r="G1" s="534"/>
      <c r="H1" s="534"/>
    </row>
    <row r="2" spans="1:14">
      <c r="A2" s="535" t="s">
        <v>25</v>
      </c>
      <c r="B2" s="535"/>
      <c r="C2" s="535"/>
      <c r="D2" s="535"/>
      <c r="E2" s="535"/>
      <c r="F2" s="535"/>
      <c r="G2" s="535"/>
      <c r="H2" s="535"/>
    </row>
    <row r="3" spans="1:14">
      <c r="A3" s="535" t="s">
        <v>1480</v>
      </c>
      <c r="B3" s="535"/>
      <c r="C3" s="535"/>
      <c r="D3" s="535"/>
      <c r="E3" s="535"/>
      <c r="F3" s="535"/>
      <c r="G3" s="535"/>
      <c r="H3" s="535"/>
    </row>
    <row r="4" spans="1:14">
      <c r="A4" s="535" t="s">
        <v>1684</v>
      </c>
      <c r="B4" s="535"/>
      <c r="C4" s="535"/>
      <c r="D4" s="535"/>
      <c r="E4" s="535"/>
      <c r="F4" s="535"/>
      <c r="G4" s="535"/>
      <c r="H4" s="535"/>
    </row>
    <row r="8" spans="1:14">
      <c r="A8" s="374" t="s">
        <v>24</v>
      </c>
      <c r="F8" s="375" t="s">
        <v>23</v>
      </c>
    </row>
    <row r="9" spans="1:14">
      <c r="F9" s="376" t="s">
        <v>1110</v>
      </c>
      <c r="G9" s="111" t="s">
        <v>5816</v>
      </c>
    </row>
    <row r="10" spans="1:14">
      <c r="A10" s="131" t="s">
        <v>4792</v>
      </c>
      <c r="F10" s="376" t="s">
        <v>1685</v>
      </c>
      <c r="G10" s="112" t="s">
        <v>5815</v>
      </c>
    </row>
    <row r="11" spans="1:14">
      <c r="A11" s="131" t="s">
        <v>4793</v>
      </c>
      <c r="F11" s="376" t="s">
        <v>1163</v>
      </c>
      <c r="G11" s="112" t="s">
        <v>1094</v>
      </c>
    </row>
    <row r="12" spans="1:14">
      <c r="A12" s="131" t="s">
        <v>4511</v>
      </c>
      <c r="F12" s="376" t="s">
        <v>1188</v>
      </c>
      <c r="G12" s="112" t="s">
        <v>5817</v>
      </c>
    </row>
    <row r="13" spans="1:14">
      <c r="A13" s="131" t="s">
        <v>4794</v>
      </c>
      <c r="G13" s="111"/>
    </row>
    <row r="14" spans="1:14">
      <c r="A14" s="131" t="s">
        <v>4795</v>
      </c>
    </row>
    <row r="15" spans="1:14">
      <c r="A15" s="131" t="s">
        <v>4796</v>
      </c>
      <c r="K15" s="379" t="s">
        <v>4530</v>
      </c>
      <c r="L15" s="377"/>
      <c r="M15" s="377"/>
      <c r="N15" s="377"/>
    </row>
    <row r="16" spans="1:14" s="385" customFormat="1" ht="20.100000000000001" customHeight="1">
      <c r="A16" s="380" t="s">
        <v>1140</v>
      </c>
      <c r="B16" s="381" t="s">
        <v>1098</v>
      </c>
      <c r="C16" s="381"/>
      <c r="D16" s="382" t="s">
        <v>14</v>
      </c>
      <c r="E16" s="382"/>
      <c r="F16" s="380"/>
      <c r="G16" s="383"/>
      <c r="H16" s="384" t="s">
        <v>13</v>
      </c>
      <c r="K16" s="379"/>
      <c r="L16" s="377"/>
      <c r="M16" s="377"/>
      <c r="N16" s="377"/>
    </row>
    <row r="17" spans="1:15">
      <c r="A17" s="377"/>
      <c r="B17" s="377"/>
      <c r="C17" s="377"/>
      <c r="D17" s="111"/>
      <c r="E17" s="111"/>
      <c r="F17" s="111"/>
      <c r="G17" s="111"/>
      <c r="H17" s="111"/>
      <c r="K17" s="377" t="s">
        <v>2719</v>
      </c>
      <c r="L17" s="377"/>
      <c r="M17" s="377"/>
      <c r="N17" s="377">
        <v>1350</v>
      </c>
    </row>
    <row r="18" spans="1:15">
      <c r="A18" s="386"/>
      <c r="B18" s="387"/>
      <c r="C18" s="387"/>
      <c r="D18" s="2" t="s">
        <v>5818</v>
      </c>
      <c r="E18" s="2"/>
      <c r="F18" s="111"/>
      <c r="G18" s="111"/>
      <c r="H18" s="111"/>
      <c r="K18" s="377" t="s">
        <v>1583</v>
      </c>
      <c r="L18" s="377"/>
      <c r="M18" s="377"/>
      <c r="N18" s="377">
        <v>600</v>
      </c>
    </row>
    <row r="19" spans="1:15">
      <c r="A19" s="386"/>
      <c r="B19" s="387"/>
      <c r="C19" s="387"/>
      <c r="D19" s="2" t="s">
        <v>5819</v>
      </c>
      <c r="E19" s="2"/>
      <c r="F19" s="111"/>
      <c r="G19" s="111"/>
      <c r="H19" s="111"/>
      <c r="I19" s="377"/>
      <c r="K19" s="377" t="s">
        <v>4518</v>
      </c>
      <c r="L19" s="377"/>
      <c r="M19" s="377"/>
      <c r="N19" s="377">
        <v>150</v>
      </c>
    </row>
    <row r="20" spans="1:15">
      <c r="A20" s="120"/>
      <c r="B20" s="313"/>
      <c r="C20" s="313"/>
      <c r="D20" s="111"/>
      <c r="E20" s="111"/>
      <c r="F20" s="111"/>
      <c r="G20" s="111"/>
      <c r="H20" s="111"/>
      <c r="I20" s="377"/>
      <c r="K20" s="377"/>
      <c r="L20" s="377"/>
      <c r="M20" s="377"/>
      <c r="N20" s="377"/>
    </row>
    <row r="21" spans="1:15">
      <c r="A21" s="120" t="s">
        <v>5820</v>
      </c>
      <c r="B21" s="313" t="s">
        <v>1920</v>
      </c>
      <c r="C21" s="313"/>
      <c r="D21" s="111" t="s">
        <v>5821</v>
      </c>
      <c r="E21" s="111"/>
      <c r="F21" s="111"/>
      <c r="G21" s="111"/>
      <c r="H21" s="111">
        <f>215.52*13</f>
        <v>2801.76</v>
      </c>
      <c r="I21" s="377"/>
    </row>
    <row r="22" spans="1:15">
      <c r="A22" s="120"/>
      <c r="B22" s="387"/>
      <c r="C22" s="387"/>
      <c r="D22" s="111" t="s">
        <v>2446</v>
      </c>
      <c r="E22" s="111"/>
      <c r="F22" s="111"/>
      <c r="G22" s="111"/>
      <c r="H22" s="111">
        <f>H21*10%</f>
        <v>280.17600000000004</v>
      </c>
      <c r="I22" s="377"/>
      <c r="K22" s="2" t="s">
        <v>4622</v>
      </c>
      <c r="L22" s="111"/>
      <c r="M22" s="111"/>
      <c r="N22" s="111"/>
      <c r="O22" s="377"/>
    </row>
    <row r="23" spans="1:15">
      <c r="A23" s="111"/>
      <c r="B23" s="377"/>
      <c r="C23" s="377"/>
      <c r="D23" s="111" t="s">
        <v>5175</v>
      </c>
      <c r="E23" s="111"/>
      <c r="F23" s="111"/>
      <c r="G23" s="111"/>
      <c r="H23" s="111">
        <v>168.11</v>
      </c>
      <c r="I23" s="377"/>
      <c r="K23" s="2"/>
      <c r="L23" s="111"/>
      <c r="M23" s="111"/>
      <c r="N23" s="111"/>
      <c r="O23" s="377"/>
    </row>
    <row r="24" spans="1:15">
      <c r="A24" s="377"/>
      <c r="B24" s="377"/>
      <c r="C24" s="377"/>
      <c r="D24" s="111" t="s">
        <v>3461</v>
      </c>
      <c r="E24" s="111"/>
      <c r="F24" s="111"/>
      <c r="G24" s="111"/>
      <c r="H24" s="111">
        <f>13*3</f>
        <v>39</v>
      </c>
      <c r="I24" s="377"/>
      <c r="K24" s="111" t="s">
        <v>2719</v>
      </c>
      <c r="L24" s="111"/>
      <c r="M24" s="111"/>
      <c r="N24" s="111">
        <v>810</v>
      </c>
      <c r="O24" s="377"/>
    </row>
    <row r="25" spans="1:15">
      <c r="A25" s="378"/>
      <c r="B25" s="377"/>
      <c r="C25" s="377"/>
      <c r="D25" s="111" t="s">
        <v>4676</v>
      </c>
      <c r="E25" s="111"/>
      <c r="F25" s="111"/>
      <c r="G25" s="111"/>
      <c r="H25" s="111">
        <v>390</v>
      </c>
      <c r="I25" s="377"/>
      <c r="K25" s="111" t="s">
        <v>1583</v>
      </c>
      <c r="L25" s="111"/>
      <c r="M25" s="111"/>
      <c r="N25" s="111">
        <v>300</v>
      </c>
      <c r="O25" s="377"/>
    </row>
    <row r="26" spans="1:15">
      <c r="A26" s="120"/>
      <c r="B26" s="377"/>
      <c r="C26" s="377"/>
      <c r="D26" s="111" t="s">
        <v>5471</v>
      </c>
      <c r="E26" s="111"/>
      <c r="F26" s="111"/>
      <c r="G26" s="111"/>
      <c r="H26" s="111">
        <v>-0.05</v>
      </c>
      <c r="I26" s="377"/>
      <c r="K26" s="111" t="s">
        <v>4518</v>
      </c>
      <c r="L26" s="111"/>
      <c r="M26" s="111"/>
      <c r="N26" s="111">
        <v>100</v>
      </c>
      <c r="O26" s="377"/>
    </row>
    <row r="27" spans="1:15">
      <c r="A27" s="111"/>
      <c r="B27" s="378"/>
      <c r="C27" s="378"/>
      <c r="D27" s="2"/>
      <c r="E27" s="2"/>
      <c r="F27" s="377"/>
      <c r="G27" s="377"/>
      <c r="H27" s="377"/>
      <c r="I27" s="377"/>
      <c r="K27" s="111"/>
      <c r="L27" s="111"/>
      <c r="M27" s="111"/>
      <c r="N27" s="111"/>
      <c r="O27" s="377"/>
    </row>
    <row r="28" spans="1:15">
      <c r="A28" s="378"/>
      <c r="B28" s="377"/>
      <c r="C28" s="377"/>
      <c r="D28" s="377"/>
      <c r="E28" s="377"/>
      <c r="F28" s="377"/>
      <c r="G28" s="377"/>
      <c r="H28" s="377"/>
      <c r="K28" s="111"/>
      <c r="L28" s="111"/>
      <c r="M28" s="111"/>
      <c r="N28" s="111"/>
      <c r="O28" s="377"/>
    </row>
    <row r="29" spans="1:15">
      <c r="A29" s="120"/>
      <c r="D29" s="111"/>
      <c r="E29" s="111"/>
    </row>
    <row r="30" spans="1:15">
      <c r="A30" s="111"/>
      <c r="D30" s="379"/>
      <c r="E30" s="379"/>
    </row>
    <row r="31" spans="1:15">
      <c r="A31" s="377"/>
      <c r="D31" s="111"/>
      <c r="E31" s="111"/>
    </row>
    <row r="32" spans="1:15">
      <c r="A32" s="378"/>
      <c r="D32" s="111"/>
      <c r="E32" s="111"/>
    </row>
    <row r="33" spans="1:8">
      <c r="A33" s="378"/>
    </row>
    <row r="34" spans="1:8">
      <c r="A34" s="377"/>
      <c r="D34" s="377"/>
      <c r="E34" s="377"/>
    </row>
    <row r="35" spans="1:8">
      <c r="A35" s="378"/>
      <c r="D35" s="377"/>
      <c r="E35" s="377"/>
    </row>
    <row r="36" spans="1:8">
      <c r="A36" s="390"/>
    </row>
    <row r="37" spans="1:8">
      <c r="A37" s="391"/>
      <c r="H37" s="373"/>
    </row>
    <row r="38" spans="1:8" ht="13.5" thickBot="1">
      <c r="A38" s="391"/>
      <c r="H38" s="392">
        <f>SUM(H20:H36)</f>
        <v>3678.9960000000001</v>
      </c>
    </row>
    <row r="39" spans="1:8" ht="13.5" thickTop="1">
      <c r="A39" s="391"/>
    </row>
    <row r="40" spans="1:8" ht="20.100000000000001" customHeight="1">
      <c r="A40" s="393" t="s">
        <v>1686</v>
      </c>
      <c r="B40" s="394" t="str">
        <f>IF(OR(H38&gt;1000000,H38&lt;=0),"",IF(H38&lt;1000,"",IF(MOD(H38,1000000)&gt;=100000,INDEX(numbers,TRUNC(MOD(H38,1000000)/100000,0)+1)&amp;" Hundred","")&amp;IF(MOD(H38,100000)&gt;=20000," "&amp;INDEX(tens,TRUNC(MOD(H38,100000)/10000,0)+1)&amp;IF(MOD(MOD(H38,100000),10000)&gt;=1000,"-"&amp;INDEX(numbers,TRUNC(MOD(MOD(H38,100000),10000)/1000,0)+1),""),IF(MOD(H38,100000)&gt;=1000," "&amp;INDEX(numbers,TRUNC(MOD(H38,100000)/1000,0)+1),""))&amp;" Thousand") &amp; IF(H38&lt;1,"Zero Dollars",IF(MOD(H38,1000)&gt;=100," "&amp;INDEX(numbers,TRUNC(MOD(H38,1000)/100,0)+1)&amp;" Hundred","")&amp;IF(MOD(H38,100)&gt;=20," "&amp;INDEX(tens,TRUNC(MOD(H38,100)/10,0)+1)&amp;IF(MOD(MOD(H38,100),10)&gt;=1,"-"&amp;INDEX(numbers,TRUNC(MOD(MOD(H38,100),10),0)+1),""),IF(MOD(H38,100)&gt;=1," "&amp;INDEX(numbers,TRUNC(MOD(H38,100),0)+1),""))&amp;"") &amp; " and " &amp; IF(MOD(H38,1)&lt;0.005,"NO",ROUND(MOD(H38,1)*100,0)) &amp; "/100 -----------")</f>
        <v xml:space="preserve"> Three Thousand Six Hundred Seventy-Eight and 100/100 -----------</v>
      </c>
      <c r="C40" s="394"/>
      <c r="D40" s="395"/>
      <c r="E40" s="395"/>
      <c r="F40" s="395"/>
      <c r="G40" s="395"/>
      <c r="H40" s="395"/>
    </row>
    <row r="41" spans="1:8">
      <c r="A41" s="396"/>
    </row>
    <row r="42" spans="1:8" ht="25.5">
      <c r="A42" s="374" t="s">
        <v>10</v>
      </c>
      <c r="F42" s="397" t="s">
        <v>2894</v>
      </c>
      <c r="G42" s="398"/>
      <c r="H42" s="399"/>
    </row>
    <row r="43" spans="1:8">
      <c r="A43" s="400"/>
    </row>
    <row r="45" spans="1:8">
      <c r="A45" s="374" t="s">
        <v>51</v>
      </c>
      <c r="D45" s="401"/>
      <c r="E45" s="401"/>
    </row>
    <row r="46" spans="1:8">
      <c r="A46" s="402"/>
      <c r="B46" s="402"/>
      <c r="C46" s="452"/>
    </row>
    <row r="47" spans="1:8">
      <c r="F47" s="403" t="s">
        <v>7</v>
      </c>
    </row>
    <row r="48" spans="1:8">
      <c r="A48" s="131" t="s">
        <v>8</v>
      </c>
      <c r="D48" s="131" t="s">
        <v>8</v>
      </c>
      <c r="H48" s="404"/>
    </row>
    <row r="52" spans="1:8">
      <c r="A52" s="402" t="s">
        <v>51</v>
      </c>
      <c r="B52" s="402"/>
      <c r="C52" s="452"/>
      <c r="D52" s="402" t="s">
        <v>51</v>
      </c>
      <c r="F52" s="402"/>
      <c r="G52" s="402"/>
      <c r="H52" s="402"/>
    </row>
    <row r="53" spans="1:8" s="407" customFormat="1" ht="17.100000000000001" customHeight="1">
      <c r="A53" s="405" t="s">
        <v>2948</v>
      </c>
      <c r="B53" s="406"/>
      <c r="C53" s="406"/>
      <c r="D53" s="145" t="s">
        <v>103</v>
      </c>
      <c r="E53" s="400"/>
      <c r="F53" s="400" t="s">
        <v>3</v>
      </c>
      <c r="G53" s="400"/>
      <c r="H53" s="400"/>
    </row>
    <row r="54" spans="1:8">
      <c r="A54" s="405"/>
      <c r="F54" s="374" t="s">
        <v>2</v>
      </c>
    </row>
    <row r="56" spans="1:8">
      <c r="F56" s="408" t="s">
        <v>1</v>
      </c>
    </row>
    <row r="57" spans="1:8">
      <c r="F57" s="408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sheetPr codeName="Sheet502">
    <pageSetUpPr fitToPage="1"/>
  </sheetPr>
  <dimension ref="A1:G54"/>
  <sheetViews>
    <sheetView topLeftCell="A13" workbookViewId="0">
      <selection activeCell="G9" sqref="G9:G13"/>
    </sheetView>
  </sheetViews>
  <sheetFormatPr defaultRowHeight="12.75"/>
  <cols>
    <col min="1" max="1" width="15.7109375" style="131" customWidth="1"/>
    <col min="2" max="2" width="14.140625" style="131" customWidth="1"/>
    <col min="3" max="3" width="21" style="131" customWidth="1"/>
    <col min="4" max="4" width="16.42578125" style="131" customWidth="1"/>
    <col min="5" max="5" width="8.7109375" style="131" customWidth="1"/>
    <col min="6" max="6" width="13.28515625" style="131" customWidth="1"/>
    <col min="7" max="16384" width="9.140625" style="86"/>
  </cols>
  <sheetData>
    <row r="1" spans="1:7" ht="15">
      <c r="A1" s="531" t="s">
        <v>26</v>
      </c>
      <c r="B1" s="531"/>
      <c r="C1" s="531"/>
      <c r="D1" s="531"/>
      <c r="E1" s="531"/>
      <c r="F1" s="531"/>
    </row>
    <row r="2" spans="1:7">
      <c r="A2" s="532" t="s">
        <v>25</v>
      </c>
      <c r="B2" s="532"/>
      <c r="C2" s="532"/>
      <c r="D2" s="532"/>
      <c r="E2" s="532"/>
      <c r="F2" s="532"/>
    </row>
    <row r="3" spans="1:7">
      <c r="A3" s="532" t="s">
        <v>1480</v>
      </c>
      <c r="B3" s="532"/>
      <c r="C3" s="532"/>
      <c r="D3" s="532"/>
      <c r="E3" s="532"/>
      <c r="F3" s="532"/>
    </row>
    <row r="4" spans="1:7">
      <c r="A4" s="532" t="s">
        <v>1684</v>
      </c>
      <c r="B4" s="532"/>
      <c r="C4" s="532"/>
      <c r="D4" s="532"/>
      <c r="E4" s="532"/>
      <c r="F4" s="532"/>
    </row>
    <row r="8" spans="1:7">
      <c r="A8" s="131" t="s">
        <v>24</v>
      </c>
      <c r="D8" s="87" t="s">
        <v>23</v>
      </c>
    </row>
    <row r="9" spans="1:7">
      <c r="D9" s="132" t="s">
        <v>3349</v>
      </c>
      <c r="E9" s="111" t="s">
        <v>4819</v>
      </c>
      <c r="G9" s="147"/>
    </row>
    <row r="10" spans="1:7">
      <c r="A10" s="131" t="s">
        <v>3761</v>
      </c>
      <c r="D10" s="132" t="s">
        <v>1340</v>
      </c>
      <c r="E10" s="111" t="s">
        <v>4799</v>
      </c>
      <c r="G10" s="212"/>
    </row>
    <row r="11" spans="1:7">
      <c r="A11" s="131" t="s">
        <v>3762</v>
      </c>
      <c r="D11" s="132" t="s">
        <v>3350</v>
      </c>
      <c r="E11" s="111" t="s">
        <v>1094</v>
      </c>
      <c r="G11" s="212"/>
    </row>
    <row r="12" spans="1:7">
      <c r="D12" s="132" t="s">
        <v>1188</v>
      </c>
      <c r="E12" s="111" t="s">
        <v>4820</v>
      </c>
      <c r="G12" s="212"/>
    </row>
    <row r="13" spans="1:7">
      <c r="E13" s="111"/>
    </row>
    <row r="16" spans="1:7" s="95" customFormat="1" ht="20.100000000000001" customHeight="1">
      <c r="A16" s="90" t="s">
        <v>1122</v>
      </c>
      <c r="B16" s="90" t="s">
        <v>1132</v>
      </c>
      <c r="C16" s="92" t="s">
        <v>14</v>
      </c>
      <c r="D16" s="90"/>
      <c r="E16" s="93"/>
      <c r="F16" s="94" t="s">
        <v>13</v>
      </c>
    </row>
    <row r="18" spans="1:6">
      <c r="A18" s="158"/>
      <c r="B18" s="165"/>
      <c r="C18" s="110" t="s">
        <v>3763</v>
      </c>
    </row>
    <row r="19" spans="1:6">
      <c r="A19" s="158"/>
      <c r="B19" s="165"/>
      <c r="C19" s="110"/>
    </row>
    <row r="20" spans="1:6">
      <c r="A20" s="158" t="s">
        <v>4821</v>
      </c>
      <c r="B20" s="163"/>
      <c r="C20" s="131" t="s">
        <v>4752</v>
      </c>
      <c r="F20" s="131">
        <v>2500</v>
      </c>
    </row>
    <row r="21" spans="1:6">
      <c r="A21" s="158"/>
      <c r="B21" s="165"/>
      <c r="C21" s="131" t="s">
        <v>4822</v>
      </c>
    </row>
    <row r="24" spans="1:6">
      <c r="A24" s="158"/>
      <c r="B24" s="163"/>
    </row>
    <row r="25" spans="1:6">
      <c r="A25" s="158"/>
      <c r="B25" s="158"/>
    </row>
    <row r="26" spans="1:6">
      <c r="A26" s="165"/>
      <c r="B26" s="158"/>
      <c r="C26" s="110"/>
      <c r="F26" s="149"/>
    </row>
    <row r="27" spans="1:6">
      <c r="A27" s="165"/>
      <c r="B27" s="141"/>
    </row>
    <row r="28" spans="1:6">
      <c r="A28" s="158"/>
      <c r="B28" s="141"/>
    </row>
    <row r="29" spans="1:6">
      <c r="A29" s="165"/>
      <c r="B29" s="158"/>
    </row>
    <row r="30" spans="1:6">
      <c r="A30" s="165"/>
      <c r="B30" s="158"/>
    </row>
    <row r="31" spans="1:6">
      <c r="A31" s="165"/>
      <c r="B31" s="158"/>
    </row>
    <row r="32" spans="1:6">
      <c r="A32" s="163"/>
      <c r="B32" s="141"/>
    </row>
    <row r="35" spans="1:6" ht="13.5" thickBot="1">
      <c r="F35" s="164">
        <f>SUM(F19:F34)</f>
        <v>2500</v>
      </c>
    </row>
    <row r="36" spans="1:6" ht="13.5" thickTop="1"/>
    <row r="37" spans="1:6" ht="20.100000000000001" customHeight="1">
      <c r="A37" s="138" t="s">
        <v>204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Five Hundred and NO/100 -----------</v>
      </c>
      <c r="C37" s="139"/>
      <c r="D37" s="282"/>
      <c r="E37" s="282"/>
      <c r="F37" s="282"/>
    </row>
    <row r="38" spans="1:6" ht="20.100000000000001" customHeight="1">
      <c r="A38" s="212"/>
      <c r="B38" s="145"/>
      <c r="C38" s="147"/>
      <c r="D38" s="282"/>
      <c r="E38" s="282"/>
      <c r="F38" s="282"/>
    </row>
    <row r="39" spans="1:6" ht="25.5">
      <c r="A39" s="140" t="s">
        <v>3060</v>
      </c>
      <c r="D39" s="283" t="s">
        <v>2894</v>
      </c>
      <c r="E39" s="284"/>
      <c r="F39" s="285"/>
    </row>
    <row r="40" spans="1:6">
      <c r="D40" s="286"/>
      <c r="E40" s="287"/>
      <c r="F40" s="287"/>
    </row>
    <row r="41" spans="1:6">
      <c r="A41" s="86"/>
      <c r="C41" s="141"/>
    </row>
    <row r="42" spans="1:6">
      <c r="A42" s="131" t="s">
        <v>52</v>
      </c>
      <c r="C42" s="141"/>
    </row>
    <row r="43" spans="1:6">
      <c r="A43" s="142"/>
      <c r="B43" s="142"/>
    </row>
    <row r="45" spans="1:6">
      <c r="A45" s="143" t="s">
        <v>8</v>
      </c>
      <c r="D45" s="143" t="s">
        <v>7</v>
      </c>
      <c r="F45" s="144"/>
    </row>
    <row r="49" spans="1:6">
      <c r="A49" s="142"/>
      <c r="B49" s="142"/>
      <c r="D49" s="142"/>
      <c r="E49" s="142"/>
      <c r="F49" s="142"/>
    </row>
    <row r="50" spans="1:6" s="109" customFormat="1" ht="17.100000000000001" customHeight="1">
      <c r="A50" s="145" t="s">
        <v>2948</v>
      </c>
      <c r="B50" s="146"/>
      <c r="C50" s="147"/>
      <c r="D50" s="147" t="s">
        <v>3</v>
      </c>
      <c r="E50" s="147"/>
      <c r="F50" s="147"/>
    </row>
    <row r="51" spans="1:6">
      <c r="D51" s="131" t="s">
        <v>2</v>
      </c>
    </row>
    <row r="53" spans="1:6">
      <c r="D53" s="110" t="s">
        <v>1</v>
      </c>
    </row>
    <row r="54" spans="1:6">
      <c r="D54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4BEA-CE68-4E6F-AC21-A5842F205C82}">
  <sheetPr codeName="Sheet491">
    <pageSetUpPr fitToPage="1"/>
  </sheetPr>
  <dimension ref="A1:G54"/>
  <sheetViews>
    <sheetView workbookViewId="0">
      <selection activeCell="G9" sqref="G9:G13"/>
    </sheetView>
  </sheetViews>
  <sheetFormatPr defaultRowHeight="12.75"/>
  <cols>
    <col min="1" max="1" width="15.7109375" style="111" customWidth="1"/>
    <col min="2" max="2" width="14.140625" style="111" customWidth="1"/>
    <col min="3" max="3" width="21" style="111" customWidth="1"/>
    <col min="4" max="4" width="16.42578125" style="111" customWidth="1"/>
    <col min="5" max="5" width="8.7109375" style="111" customWidth="1"/>
    <col min="6" max="6" width="13.28515625" style="111" customWidth="1"/>
    <col min="7" max="16384" width="9.140625" style="1"/>
  </cols>
  <sheetData>
    <row r="1" spans="1:7" ht="15">
      <c r="A1" s="528" t="s">
        <v>26</v>
      </c>
      <c r="B1" s="528"/>
      <c r="C1" s="528"/>
      <c r="D1" s="528"/>
      <c r="E1" s="528"/>
      <c r="F1" s="528"/>
    </row>
    <row r="2" spans="1:7">
      <c r="A2" s="530" t="s">
        <v>25</v>
      </c>
      <c r="B2" s="530"/>
      <c r="C2" s="530"/>
      <c r="D2" s="530"/>
      <c r="E2" s="530"/>
      <c r="F2" s="530"/>
    </row>
    <row r="3" spans="1:7">
      <c r="A3" s="530" t="s">
        <v>1480</v>
      </c>
      <c r="B3" s="530"/>
      <c r="C3" s="530"/>
      <c r="D3" s="530"/>
      <c r="E3" s="530"/>
      <c r="F3" s="530"/>
    </row>
    <row r="4" spans="1:7">
      <c r="A4" s="530" t="s">
        <v>1684</v>
      </c>
      <c r="B4" s="530"/>
      <c r="C4" s="530"/>
      <c r="D4" s="530"/>
      <c r="E4" s="530"/>
      <c r="F4" s="530"/>
    </row>
    <row r="8" spans="1:7">
      <c r="A8" s="111" t="s">
        <v>24</v>
      </c>
      <c r="D8" s="22" t="s">
        <v>23</v>
      </c>
    </row>
    <row r="9" spans="1:7">
      <c r="D9" s="112" t="s">
        <v>3349</v>
      </c>
      <c r="E9" s="111" t="s">
        <v>5647</v>
      </c>
      <c r="G9" s="126"/>
    </row>
    <row r="10" spans="1:7">
      <c r="A10" s="111" t="s">
        <v>4957</v>
      </c>
      <c r="D10" s="112" t="s">
        <v>1340</v>
      </c>
      <c r="E10" s="111" t="s">
        <v>5630</v>
      </c>
      <c r="G10" s="160"/>
    </row>
    <row r="11" spans="1:7">
      <c r="A11" s="111" t="s">
        <v>4958</v>
      </c>
      <c r="D11" s="112" t="s">
        <v>3350</v>
      </c>
      <c r="E11" s="111" t="s">
        <v>1094</v>
      </c>
      <c r="G11" s="160"/>
    </row>
    <row r="12" spans="1:7">
      <c r="A12" s="111" t="s">
        <v>4959</v>
      </c>
      <c r="D12" s="112" t="s">
        <v>1188</v>
      </c>
      <c r="E12" s="111" t="s">
        <v>5648</v>
      </c>
      <c r="G12" s="160"/>
    </row>
    <row r="13" spans="1:7">
      <c r="A13" s="111" t="s">
        <v>4960</v>
      </c>
      <c r="E13" s="131"/>
    </row>
    <row r="14" spans="1:7">
      <c r="A14" s="111" t="s">
        <v>1588</v>
      </c>
    </row>
    <row r="16" spans="1:7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8" spans="1:6">
      <c r="A18" s="116"/>
      <c r="B18" s="161"/>
      <c r="C18" s="2" t="s">
        <v>5649</v>
      </c>
    </row>
    <row r="19" spans="1:6">
      <c r="A19" s="116"/>
      <c r="B19" s="161"/>
      <c r="C19" s="2"/>
    </row>
    <row r="20" spans="1:6">
      <c r="A20" s="116" t="s">
        <v>5650</v>
      </c>
      <c r="B20" s="116" t="s">
        <v>5651</v>
      </c>
      <c r="C20" s="111" t="s">
        <v>5652</v>
      </c>
      <c r="F20" s="111">
        <f>4289.5+436</f>
        <v>4725.5</v>
      </c>
    </row>
    <row r="21" spans="1:6">
      <c r="A21" s="116"/>
      <c r="B21" s="161"/>
      <c r="C21" s="111" t="s">
        <v>5175</v>
      </c>
      <c r="F21" s="111">
        <v>26.16</v>
      </c>
    </row>
    <row r="22" spans="1:6">
      <c r="A22" s="116"/>
      <c r="B22" s="161"/>
    </row>
    <row r="23" spans="1:6">
      <c r="A23" s="116" t="s">
        <v>5646</v>
      </c>
      <c r="B23" s="116" t="s">
        <v>5653</v>
      </c>
      <c r="C23" s="111" t="s">
        <v>5654</v>
      </c>
      <c r="F23" s="111">
        <v>492</v>
      </c>
    </row>
    <row r="24" spans="1:6">
      <c r="C24" s="111" t="s">
        <v>5478</v>
      </c>
      <c r="F24" s="111">
        <v>525.89</v>
      </c>
    </row>
    <row r="26" spans="1:6">
      <c r="A26" s="116"/>
      <c r="B26" s="115"/>
      <c r="F26" s="414"/>
    </row>
    <row r="27" spans="1:6">
      <c r="A27" s="116"/>
      <c r="B27" s="121"/>
    </row>
    <row r="28" spans="1:6">
      <c r="A28" s="161"/>
      <c r="B28" s="116"/>
    </row>
    <row r="29" spans="1:6">
      <c r="A29" s="161"/>
      <c r="B29" s="121"/>
    </row>
    <row r="30" spans="1:6">
      <c r="A30" s="161"/>
      <c r="B30" s="116"/>
      <c r="C30" s="2"/>
      <c r="F30" s="149"/>
    </row>
    <row r="31" spans="1:6">
      <c r="A31" s="161"/>
      <c r="B31" s="116"/>
      <c r="F31" s="149"/>
    </row>
    <row r="32" spans="1:6">
      <c r="A32" s="115"/>
      <c r="B32" s="121"/>
    </row>
    <row r="34" spans="1:6">
      <c r="F34" s="35"/>
    </row>
    <row r="35" spans="1:6" ht="13.5" thickBot="1">
      <c r="F35" s="127">
        <f>SUM(F18:F33)</f>
        <v>5769.55</v>
      </c>
    </row>
    <row r="36" spans="1:6" ht="13.5" thickTop="1"/>
    <row r="37" spans="1:6" ht="20.100000000000001" customHeight="1">
      <c r="A37" s="118" t="s">
        <v>204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Five Thousand Seven Hundred Sixty-Nine and 55/100 -----------</v>
      </c>
      <c r="C37" s="119"/>
      <c r="D37" s="263"/>
      <c r="E37" s="263"/>
      <c r="F37" s="263"/>
    </row>
    <row r="38" spans="1:6" ht="20.100000000000001" customHeight="1">
      <c r="A38" s="160"/>
      <c r="B38" s="151"/>
      <c r="C38" s="126"/>
      <c r="D38" s="263"/>
      <c r="E38" s="263"/>
      <c r="F38" s="263"/>
    </row>
    <row r="39" spans="1:6" ht="25.5">
      <c r="A39" s="120" t="s">
        <v>3060</v>
      </c>
      <c r="D39" s="265" t="s">
        <v>2894</v>
      </c>
      <c r="E39" s="266"/>
      <c r="F39" s="267"/>
    </row>
    <row r="40" spans="1:6">
      <c r="D40" s="310"/>
      <c r="E40" s="311"/>
      <c r="F40" s="311"/>
    </row>
    <row r="41" spans="1:6">
      <c r="A41" s="1"/>
      <c r="C41" s="121"/>
    </row>
    <row r="42" spans="1:6">
      <c r="A42" s="111" t="s">
        <v>52</v>
      </c>
      <c r="C42" s="121"/>
    </row>
    <row r="43" spans="1:6">
      <c r="A43" s="122"/>
      <c r="B43" s="122"/>
    </row>
    <row r="45" spans="1:6">
      <c r="A45" s="123" t="s">
        <v>8</v>
      </c>
      <c r="D45" s="123" t="s">
        <v>7</v>
      </c>
      <c r="F45" s="124"/>
    </row>
    <row r="49" spans="1:6">
      <c r="A49" s="122"/>
      <c r="B49" s="122"/>
      <c r="D49" s="122"/>
      <c r="E49" s="122"/>
      <c r="F49" s="122"/>
    </row>
    <row r="50" spans="1:6" s="3" customFormat="1" ht="17.100000000000001" customHeight="1">
      <c r="A50" s="111" t="s">
        <v>3441</v>
      </c>
      <c r="B50" s="125"/>
      <c r="C50" s="126"/>
      <c r="D50" s="126" t="s">
        <v>3</v>
      </c>
      <c r="E50" s="126"/>
      <c r="F50" s="126"/>
    </row>
    <row r="51" spans="1:6">
      <c r="D51" s="111" t="s">
        <v>2</v>
      </c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D38DB-1E3E-4B5C-9EB4-AB340E21054B}">
  <sheetPr codeName="Sheet503">
    <pageSetUpPr fitToPage="1"/>
  </sheetPr>
  <dimension ref="A1:H53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7109375" style="131" customWidth="1"/>
    <col min="3" max="3" width="1.28515625" style="131" customWidth="1"/>
    <col min="4" max="4" width="21" style="131" customWidth="1"/>
    <col min="5" max="5" width="1.42578125" style="131" customWidth="1"/>
    <col min="6" max="6" width="16.42578125" style="131" customWidth="1"/>
    <col min="7" max="7" width="9" style="131" customWidth="1"/>
    <col min="8" max="8" width="13.28515625" style="131" customWidth="1"/>
    <col min="9" max="9" width="9.140625" style="86"/>
    <col min="10" max="10" width="9.42578125" style="86" bestFit="1" customWidth="1"/>
    <col min="11" max="11" width="9.140625" style="86"/>
    <col min="12" max="12" width="10.42578125" style="86" bestFit="1" customWidth="1"/>
    <col min="13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1110</v>
      </c>
      <c r="G9" s="111" t="s">
        <v>4906</v>
      </c>
    </row>
    <row r="10" spans="1:8">
      <c r="A10" s="131" t="s">
        <v>4907</v>
      </c>
      <c r="F10" s="132" t="s">
        <v>1685</v>
      </c>
      <c r="G10" s="112" t="s">
        <v>4902</v>
      </c>
    </row>
    <row r="11" spans="1:8">
      <c r="A11" s="131" t="s">
        <v>4908</v>
      </c>
      <c r="F11" s="132" t="s">
        <v>1163</v>
      </c>
      <c r="G11" s="112" t="s">
        <v>1094</v>
      </c>
    </row>
    <row r="12" spans="1:8">
      <c r="A12" s="131" t="s">
        <v>4909</v>
      </c>
      <c r="F12" s="132" t="s">
        <v>1188</v>
      </c>
      <c r="G12" s="120" t="s">
        <v>1270</v>
      </c>
    </row>
    <row r="13" spans="1:8">
      <c r="A13" s="131" t="s">
        <v>4910</v>
      </c>
    </row>
    <row r="14" spans="1:8">
      <c r="A14" s="131" t="s">
        <v>4911</v>
      </c>
    </row>
    <row r="16" spans="1:8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7" spans="1:8">
      <c r="A17" s="177"/>
    </row>
    <row r="18" spans="1:8">
      <c r="A18" s="413"/>
      <c r="B18" s="334"/>
      <c r="C18" s="158"/>
      <c r="D18" s="110" t="s">
        <v>4220</v>
      </c>
      <c r="E18" s="110"/>
    </row>
    <row r="19" spans="1:8">
      <c r="A19" s="177"/>
      <c r="E19" s="110"/>
    </row>
    <row r="20" spans="1:8">
      <c r="A20" s="158" t="s">
        <v>4818</v>
      </c>
      <c r="B20" s="158" t="s">
        <v>4912</v>
      </c>
      <c r="D20" s="131" t="s">
        <v>4913</v>
      </c>
      <c r="H20" s="131">
        <f>11000*3.9033</f>
        <v>42936.3</v>
      </c>
    </row>
    <row r="21" spans="1:8">
      <c r="A21" s="177"/>
      <c r="D21" s="131" t="s">
        <v>4914</v>
      </c>
    </row>
    <row r="22" spans="1:8">
      <c r="A22" s="177"/>
    </row>
    <row r="23" spans="1:8">
      <c r="A23" s="158"/>
      <c r="B23" s="141"/>
      <c r="D23" s="131" t="s">
        <v>1697</v>
      </c>
      <c r="E23" s="110"/>
      <c r="H23" s="131">
        <v>30</v>
      </c>
    </row>
    <row r="24" spans="1:8">
      <c r="A24" s="254"/>
      <c r="B24" s="158"/>
      <c r="C24" s="158"/>
    </row>
    <row r="25" spans="1:8">
      <c r="A25" s="177"/>
      <c r="D25" s="131" t="s">
        <v>1814</v>
      </c>
      <c r="H25" s="131">
        <v>1.8</v>
      </c>
    </row>
    <row r="26" spans="1:8">
      <c r="A26" s="177"/>
    </row>
    <row r="27" spans="1:8">
      <c r="A27" s="158"/>
      <c r="E27" s="110"/>
    </row>
    <row r="29" spans="1:8">
      <c r="A29" s="158"/>
    </row>
    <row r="30" spans="1:8">
      <c r="A30" s="158"/>
      <c r="B30" s="86"/>
      <c r="C30" s="86"/>
    </row>
    <row r="31" spans="1:8">
      <c r="A31" s="86"/>
      <c r="B31" s="86"/>
      <c r="C31" s="86"/>
      <c r="D31" s="86"/>
      <c r="E31" s="86"/>
      <c r="F31" s="86"/>
      <c r="G31" s="86"/>
      <c r="H31" s="86"/>
    </row>
    <row r="32" spans="1:8">
      <c r="A32" s="177"/>
      <c r="H32" s="86"/>
    </row>
    <row r="33" spans="1:8" ht="13.5" thickBot="1">
      <c r="A33" s="177"/>
      <c r="H33" s="137">
        <f>SUM(H18:H31)</f>
        <v>42968.100000000006</v>
      </c>
    </row>
    <row r="34" spans="1:8" ht="13.5" thickTop="1">
      <c r="A34" s="177"/>
    </row>
    <row r="35" spans="1:8" ht="20.100000000000001" customHeight="1">
      <c r="A35" s="138" t="s">
        <v>1686</v>
      </c>
      <c r="B35" s="204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Forty-Two Thousand Nine Hundred Sixty-Eight and 10/100 -----------</v>
      </c>
      <c r="C35" s="204"/>
      <c r="D35" s="139"/>
      <c r="E35" s="139"/>
      <c r="F35" s="139"/>
      <c r="G35" s="139"/>
      <c r="H35" s="139"/>
    </row>
    <row r="36" spans="1:8">
      <c r="A36" s="140"/>
    </row>
    <row r="37" spans="1:8" ht="25.5">
      <c r="A37" s="147" t="s">
        <v>10</v>
      </c>
      <c r="D37" s="147"/>
      <c r="F37" s="283" t="s">
        <v>2894</v>
      </c>
      <c r="G37" s="284"/>
      <c r="H37" s="285"/>
    </row>
    <row r="39" spans="1:8">
      <c r="F39" s="291"/>
      <c r="G39" s="291"/>
      <c r="H39" s="291"/>
    </row>
    <row r="40" spans="1:8">
      <c r="A40" s="131" t="s">
        <v>51</v>
      </c>
      <c r="E40" s="141"/>
      <c r="F40" s="286"/>
      <c r="G40" s="287"/>
      <c r="H40" s="287"/>
    </row>
    <row r="41" spans="1:8">
      <c r="A41" s="104"/>
      <c r="B41" s="142"/>
    </row>
    <row r="44" spans="1:8">
      <c r="A44" s="131" t="s">
        <v>8</v>
      </c>
      <c r="D44" s="131" t="s">
        <v>8</v>
      </c>
      <c r="F44" s="143" t="s">
        <v>7</v>
      </c>
      <c r="H44" s="144"/>
    </row>
    <row r="48" spans="1:8">
      <c r="A48" s="142"/>
      <c r="B48" s="142"/>
      <c r="D48" s="142"/>
      <c r="F48" s="142"/>
      <c r="G48" s="142"/>
      <c r="H48" s="142"/>
    </row>
    <row r="49" spans="1:8" s="109" customFormat="1" ht="17.100000000000001" customHeight="1">
      <c r="A49" s="131" t="s">
        <v>2948</v>
      </c>
      <c r="B49" s="146"/>
      <c r="C49" s="146"/>
      <c r="D49" s="131" t="s">
        <v>103</v>
      </c>
      <c r="E49" s="147"/>
      <c r="F49" s="147" t="s">
        <v>3</v>
      </c>
      <c r="G49" s="147"/>
      <c r="H49" s="147"/>
    </row>
    <row r="50" spans="1:8">
      <c r="F50" s="131" t="s">
        <v>2</v>
      </c>
    </row>
    <row r="52" spans="1:8">
      <c r="F52" s="110" t="s">
        <v>1</v>
      </c>
    </row>
    <row r="53" spans="1:8">
      <c r="F53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C676-7075-468A-B672-D4291AAD8150}">
  <sheetPr codeName="Sheet504">
    <pageSetUpPr fitToPage="1"/>
  </sheetPr>
  <dimension ref="A1:H53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7109375" style="131" customWidth="1"/>
    <col min="3" max="3" width="1.28515625" style="131" customWidth="1"/>
    <col min="4" max="4" width="21" style="131" customWidth="1"/>
    <col min="5" max="5" width="1.42578125" style="131" customWidth="1"/>
    <col min="6" max="6" width="16.42578125" style="131" customWidth="1"/>
    <col min="7" max="7" width="9" style="131" customWidth="1"/>
    <col min="8" max="8" width="13.28515625" style="131" customWidth="1"/>
    <col min="9" max="9" width="9.140625" style="86"/>
    <col min="10" max="10" width="9.42578125" style="86" bestFit="1" customWidth="1"/>
    <col min="11" max="11" width="9.140625" style="86"/>
    <col min="12" max="12" width="10.42578125" style="86" bestFit="1" customWidth="1"/>
    <col min="13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1110</v>
      </c>
      <c r="G9" s="111" t="s">
        <v>5011</v>
      </c>
    </row>
    <row r="10" spans="1:8">
      <c r="A10" s="131" t="s">
        <v>5012</v>
      </c>
      <c r="F10" s="132" t="s">
        <v>1685</v>
      </c>
      <c r="G10" s="112" t="s">
        <v>5001</v>
      </c>
    </row>
    <row r="11" spans="1:8">
      <c r="A11" s="131" t="s">
        <v>5013</v>
      </c>
      <c r="F11" s="132" t="s">
        <v>1163</v>
      </c>
      <c r="G11" s="112" t="s">
        <v>1094</v>
      </c>
    </row>
    <row r="12" spans="1:8">
      <c r="A12" s="131" t="s">
        <v>5014</v>
      </c>
      <c r="F12" s="132" t="s">
        <v>1188</v>
      </c>
      <c r="G12" s="120" t="s">
        <v>1270</v>
      </c>
    </row>
    <row r="16" spans="1:8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7" spans="1:8">
      <c r="A17" s="177"/>
    </row>
    <row r="18" spans="1:8">
      <c r="A18" s="413"/>
      <c r="B18" s="334"/>
      <c r="C18" s="158"/>
      <c r="D18" s="110" t="s">
        <v>3096</v>
      </c>
      <c r="E18" s="110"/>
    </row>
    <row r="19" spans="1:8">
      <c r="A19" s="177"/>
      <c r="E19" s="110"/>
    </row>
    <row r="20" spans="1:8">
      <c r="A20" s="158" t="s">
        <v>4980</v>
      </c>
      <c r="B20" s="158"/>
      <c r="D20" s="131" t="s">
        <v>5015</v>
      </c>
      <c r="H20" s="131">
        <f>112650*0.1298</f>
        <v>14621.97</v>
      </c>
    </row>
    <row r="21" spans="1:8">
      <c r="A21" s="177"/>
    </row>
    <row r="22" spans="1:8">
      <c r="A22" s="177"/>
      <c r="D22" s="131" t="s">
        <v>1697</v>
      </c>
      <c r="H22" s="131">
        <v>30</v>
      </c>
    </row>
    <row r="23" spans="1:8">
      <c r="A23" s="158"/>
      <c r="B23" s="141"/>
      <c r="E23" s="110"/>
    </row>
    <row r="24" spans="1:8">
      <c r="A24" s="254"/>
      <c r="B24" s="158"/>
      <c r="C24" s="158"/>
    </row>
    <row r="25" spans="1:8">
      <c r="A25" s="177"/>
    </row>
    <row r="26" spans="1:8">
      <c r="A26" s="177"/>
    </row>
    <row r="27" spans="1:8">
      <c r="A27" s="158"/>
      <c r="E27" s="110"/>
    </row>
    <row r="29" spans="1:8">
      <c r="A29" s="158"/>
    </row>
    <row r="30" spans="1:8">
      <c r="A30" s="158"/>
      <c r="B30" s="86"/>
      <c r="C30" s="86"/>
    </row>
    <row r="31" spans="1:8">
      <c r="A31" s="86"/>
      <c r="B31" s="86"/>
      <c r="C31" s="86"/>
      <c r="D31" s="86"/>
      <c r="E31" s="86"/>
      <c r="F31" s="86"/>
      <c r="G31" s="86"/>
      <c r="H31" s="86"/>
    </row>
    <row r="32" spans="1:8">
      <c r="A32" s="177"/>
      <c r="H32" s="86"/>
    </row>
    <row r="33" spans="1:8" ht="13.5" thickBot="1">
      <c r="A33" s="177"/>
      <c r="H33" s="137">
        <f>SUM(H18:H31)</f>
        <v>14651.97</v>
      </c>
    </row>
    <row r="34" spans="1:8" ht="13.5" thickTop="1">
      <c r="A34" s="177"/>
    </row>
    <row r="35" spans="1:8" ht="20.100000000000001" customHeight="1">
      <c r="A35" s="138" t="s">
        <v>1686</v>
      </c>
      <c r="B35" s="204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Fourteen Thousand Six Hundred Fifty-One and 97/100 -----------</v>
      </c>
      <c r="C35" s="204"/>
      <c r="D35" s="139"/>
      <c r="E35" s="139"/>
      <c r="F35" s="139"/>
      <c r="G35" s="139"/>
      <c r="H35" s="139"/>
    </row>
    <row r="36" spans="1:8">
      <c r="A36" s="140"/>
    </row>
    <row r="37" spans="1:8" ht="25.5">
      <c r="A37" s="147" t="s">
        <v>10</v>
      </c>
      <c r="D37" s="147"/>
      <c r="F37" s="283" t="s">
        <v>2894</v>
      </c>
      <c r="G37" s="284"/>
      <c r="H37" s="285"/>
    </row>
    <row r="39" spans="1:8">
      <c r="F39" s="291"/>
      <c r="G39" s="291"/>
      <c r="H39" s="291"/>
    </row>
    <row r="40" spans="1:8">
      <c r="A40" s="131" t="s">
        <v>51</v>
      </c>
      <c r="E40" s="141"/>
      <c r="F40" s="286"/>
      <c r="G40" s="287"/>
      <c r="H40" s="287"/>
    </row>
    <row r="41" spans="1:8">
      <c r="A41" s="104"/>
      <c r="B41" s="142"/>
    </row>
    <row r="44" spans="1:8">
      <c r="A44" s="131" t="s">
        <v>8</v>
      </c>
      <c r="D44" s="131" t="s">
        <v>8</v>
      </c>
      <c r="F44" s="143" t="s">
        <v>7</v>
      </c>
      <c r="H44" s="144"/>
    </row>
    <row r="48" spans="1:8">
      <c r="A48" s="142"/>
      <c r="B48" s="142"/>
      <c r="D48" s="142"/>
      <c r="F48" s="142"/>
      <c r="G48" s="142"/>
      <c r="H48" s="142"/>
    </row>
    <row r="49" spans="1:8" s="109" customFormat="1" ht="17.100000000000001" customHeight="1">
      <c r="A49" s="131" t="s">
        <v>2948</v>
      </c>
      <c r="B49" s="146"/>
      <c r="C49" s="146"/>
      <c r="D49" s="131" t="s">
        <v>103</v>
      </c>
      <c r="E49" s="147"/>
      <c r="F49" s="147" t="s">
        <v>3</v>
      </c>
      <c r="G49" s="147"/>
      <c r="H49" s="147"/>
    </row>
    <row r="50" spans="1:8">
      <c r="F50" s="131" t="s">
        <v>2</v>
      </c>
    </row>
    <row r="52" spans="1:8">
      <c r="F52" s="110" t="s">
        <v>1</v>
      </c>
    </row>
    <row r="53" spans="1:8">
      <c r="F53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26B96-D5A2-4F1E-8868-672CAD24B320}">
  <sheetPr codeName="Sheet508">
    <pageSetUpPr fitToPage="1"/>
  </sheetPr>
  <dimension ref="A1:H52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5.140625" style="111" customWidth="1"/>
    <col min="3" max="3" width="2" style="111" customWidth="1"/>
    <col min="4" max="4" width="22.42578125" style="111" customWidth="1"/>
    <col min="5" max="5" width="1.7109375" style="111" customWidth="1"/>
    <col min="6" max="6" width="15" style="111" customWidth="1"/>
    <col min="7" max="7" width="8.28515625" style="111" customWidth="1"/>
    <col min="8" max="8" width="13.710937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11" t="s">
        <v>5072</v>
      </c>
    </row>
    <row r="10" spans="1:8">
      <c r="A10" s="111" t="s">
        <v>5073</v>
      </c>
      <c r="F10" s="112" t="s">
        <v>1180</v>
      </c>
      <c r="G10" s="112" t="s">
        <v>5071</v>
      </c>
    </row>
    <row r="11" spans="1:8">
      <c r="A11" s="111" t="s">
        <v>5074</v>
      </c>
      <c r="F11" s="112" t="s">
        <v>1181</v>
      </c>
      <c r="G11" s="112" t="s">
        <v>1094</v>
      </c>
    </row>
    <row r="12" spans="1:8">
      <c r="A12" s="111" t="s">
        <v>5076</v>
      </c>
      <c r="F12" s="112" t="s">
        <v>1182</v>
      </c>
      <c r="G12" s="112" t="s">
        <v>1270</v>
      </c>
    </row>
    <row r="13" spans="1:8">
      <c r="A13" s="111" t="s">
        <v>5075</v>
      </c>
    </row>
    <row r="16" spans="1:8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3936</v>
      </c>
      <c r="E18" s="2"/>
    </row>
    <row r="19" spans="1:8">
      <c r="A19" s="120"/>
      <c r="D19" s="2"/>
      <c r="E19" s="2"/>
    </row>
    <row r="20" spans="1:8">
      <c r="A20" s="116" t="s">
        <v>5040</v>
      </c>
      <c r="B20" s="241" t="s">
        <v>5077</v>
      </c>
      <c r="C20" s="241"/>
      <c r="D20" s="111" t="s">
        <v>5078</v>
      </c>
      <c r="H20" s="111">
        <f>1387.87*4.163</f>
        <v>5777.7028099999998</v>
      </c>
    </row>
    <row r="21" spans="1:8">
      <c r="D21" s="120" t="s">
        <v>5068</v>
      </c>
      <c r="E21" s="120"/>
      <c r="H21" s="111">
        <v>125</v>
      </c>
    </row>
    <row r="22" spans="1:8">
      <c r="A22" s="112"/>
      <c r="B22" s="116"/>
      <c r="C22" s="116"/>
      <c r="D22" s="111" t="s">
        <v>5080</v>
      </c>
      <c r="H22" s="111">
        <v>30</v>
      </c>
    </row>
    <row r="24" spans="1:8">
      <c r="A24" s="116"/>
      <c r="B24" s="121"/>
      <c r="C24" s="121"/>
      <c r="D24" s="111" t="s">
        <v>5079</v>
      </c>
    </row>
    <row r="25" spans="1:8">
      <c r="A25" s="148"/>
      <c r="B25" s="157"/>
      <c r="C25" s="157"/>
      <c r="H25" s="149"/>
    </row>
    <row r="26" spans="1:8">
      <c r="A26" s="148"/>
      <c r="B26" s="120"/>
      <c r="C26" s="120"/>
    </row>
    <row r="27" spans="1:8">
      <c r="A27" s="148"/>
    </row>
    <row r="28" spans="1:8">
      <c r="A28" s="148"/>
    </row>
    <row r="33" spans="1:8" ht="13.5" thickBot="1">
      <c r="H33" s="127">
        <f>SUM(H20:H32)</f>
        <v>5932.7028099999998</v>
      </c>
    </row>
    <row r="34" spans="1:8" ht="13.5" thickTop="1"/>
    <row r="35" spans="1:8" ht="20.100000000000001" customHeight="1">
      <c r="A35" s="118" t="s">
        <v>204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Five Thousand Nine Hundred Thirty-Two and 70/100 -----------</v>
      </c>
      <c r="C35" s="202"/>
      <c r="D35" s="119"/>
      <c r="E35" s="119"/>
      <c r="F35" s="119"/>
      <c r="G35" s="119"/>
      <c r="H35" s="119"/>
    </row>
    <row r="36" spans="1:8">
      <c r="A36" s="120" t="s">
        <v>11</v>
      </c>
    </row>
    <row r="37" spans="1:8" ht="25.5">
      <c r="A37" s="111" t="s">
        <v>10</v>
      </c>
      <c r="F37" s="265" t="s">
        <v>2894</v>
      </c>
      <c r="G37" s="266"/>
      <c r="H37" s="267"/>
    </row>
    <row r="39" spans="1:8">
      <c r="A39" s="126"/>
    </row>
    <row r="40" spans="1:8">
      <c r="A40" s="111" t="s">
        <v>52</v>
      </c>
      <c r="D40" s="121"/>
      <c r="E40" s="121"/>
    </row>
    <row r="41" spans="1:8">
      <c r="A41" s="122"/>
      <c r="B41" s="122"/>
    </row>
    <row r="43" spans="1:8">
      <c r="A43" s="123" t="s">
        <v>8</v>
      </c>
      <c r="D43" s="123" t="s">
        <v>8</v>
      </c>
      <c r="F43" s="123" t="s">
        <v>7</v>
      </c>
      <c r="H43" s="124"/>
    </row>
    <row r="47" spans="1:8">
      <c r="A47" s="122" t="s">
        <v>51</v>
      </c>
      <c r="B47" s="122"/>
      <c r="D47" s="122" t="s">
        <v>51</v>
      </c>
      <c r="F47" s="122"/>
      <c r="G47" s="122"/>
      <c r="H47" s="122"/>
    </row>
    <row r="48" spans="1:8" s="126" customFormat="1" ht="17.100000000000001" customHeight="1">
      <c r="A48" s="151" t="s">
        <v>2948</v>
      </c>
      <c r="B48" s="125"/>
      <c r="C48" s="125"/>
      <c r="D48" s="151" t="s">
        <v>103</v>
      </c>
      <c r="F48" s="126" t="s">
        <v>3</v>
      </c>
    </row>
    <row r="49" spans="1:6">
      <c r="F49" s="111" t="s">
        <v>2</v>
      </c>
    </row>
    <row r="50" spans="1:6">
      <c r="A50" s="151"/>
    </row>
    <row r="51" spans="1:6">
      <c r="F51" s="2" t="s">
        <v>1</v>
      </c>
    </row>
    <row r="52" spans="1:6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AA3C9-044D-48B0-8AE3-1C5119C0C477}">
  <sheetPr codeName="Sheet617"/>
  <dimension ref="A1:R58"/>
  <sheetViews>
    <sheetView view="pageBreakPreview" topLeftCell="A7" zoomScaleNormal="100" zoomScaleSheetLayoutView="100" workbookViewId="0">
      <selection activeCell="G9" sqref="G9:G13"/>
    </sheetView>
  </sheetViews>
  <sheetFormatPr defaultRowHeight="12.75"/>
  <cols>
    <col min="1" max="1" width="16.28515625" style="483" customWidth="1"/>
    <col min="2" max="2" width="12.28515625" style="483" customWidth="1"/>
    <col min="3" max="3" width="1.42578125" style="483" customWidth="1"/>
    <col min="4" max="4" width="22.85546875" style="483" customWidth="1"/>
    <col min="5" max="5" width="1" style="483" customWidth="1"/>
    <col min="6" max="6" width="13.140625" style="483" customWidth="1"/>
    <col min="7" max="7" width="10.5703125" style="483" customWidth="1"/>
    <col min="8" max="8" width="13.140625" style="483" customWidth="1"/>
    <col min="9" max="16384" width="9.140625" style="483"/>
  </cols>
  <sheetData>
    <row r="1" spans="1:1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8">
      <c r="A8" s="483" t="s">
        <v>24</v>
      </c>
      <c r="B8"/>
      <c r="C8"/>
      <c r="D8"/>
      <c r="E8"/>
      <c r="F8" s="22" t="s">
        <v>23</v>
      </c>
      <c r="G8"/>
      <c r="H8"/>
      <c r="K8" s="485" t="s">
        <v>6656</v>
      </c>
      <c r="L8" s="485" t="s">
        <v>6658</v>
      </c>
      <c r="M8" s="485"/>
      <c r="N8" s="486" t="s">
        <v>6662</v>
      </c>
      <c r="O8" s="482"/>
      <c r="P8"/>
      <c r="Q8"/>
      <c r="R8" s="514">
        <v>5650</v>
      </c>
    </row>
    <row r="9" spans="1:18">
      <c r="A9"/>
      <c r="B9"/>
      <c r="C9"/>
      <c r="D9"/>
      <c r="E9"/>
      <c r="F9" s="484" t="s">
        <v>1123</v>
      </c>
      <c r="G9" s="489" t="s">
        <v>6849</v>
      </c>
      <c r="H9"/>
      <c r="K9"/>
      <c r="L9"/>
      <c r="M9"/>
      <c r="N9" s="483" t="s">
        <v>6659</v>
      </c>
      <c r="O9" s="482"/>
      <c r="P9"/>
      <c r="Q9"/>
      <c r="R9"/>
    </row>
    <row r="10" spans="1:18">
      <c r="A10" s="483" t="s">
        <v>6852</v>
      </c>
      <c r="B10" s="410"/>
      <c r="C10"/>
      <c r="D10"/>
      <c r="E10"/>
      <c r="F10" s="484" t="s">
        <v>1124</v>
      </c>
      <c r="G10" s="489" t="s">
        <v>6838</v>
      </c>
      <c r="H10"/>
      <c r="K10" s="485"/>
      <c r="L10" s="485"/>
      <c r="M10" s="485"/>
      <c r="O10"/>
      <c r="P10"/>
      <c r="Q10"/>
    </row>
    <row r="11" spans="1:18">
      <c r="A11" s="483" t="s">
        <v>6851</v>
      </c>
      <c r="B11" s="410"/>
      <c r="C11"/>
      <c r="D11"/>
      <c r="E11"/>
      <c r="F11" s="484" t="s">
        <v>1125</v>
      </c>
      <c r="G11" s="489" t="s">
        <v>1094</v>
      </c>
      <c r="H11"/>
      <c r="K11" s="485" t="s">
        <v>6656</v>
      </c>
      <c r="L11" s="485" t="s">
        <v>6660</v>
      </c>
      <c r="M11" s="485"/>
      <c r="N11" s="483" t="s">
        <v>6661</v>
      </c>
      <c r="O11"/>
      <c r="P11"/>
      <c r="Q11"/>
      <c r="R11" s="483">
        <v>5650</v>
      </c>
    </row>
    <row r="12" spans="1:18">
      <c r="A12" s="410" t="s">
        <v>6853</v>
      </c>
      <c r="B12" s="410"/>
      <c r="C12"/>
      <c r="D12"/>
      <c r="E12"/>
      <c r="F12" s="484" t="s">
        <v>1096</v>
      </c>
      <c r="G12" s="486" t="s">
        <v>6850</v>
      </c>
      <c r="H12"/>
      <c r="K12" s="485"/>
      <c r="L12" s="485"/>
      <c r="M12" s="121"/>
      <c r="O12"/>
      <c r="P12"/>
      <c r="Q12"/>
    </row>
    <row r="13" spans="1:18">
      <c r="A13" s="483" t="s">
        <v>6854</v>
      </c>
    </row>
    <row r="14" spans="1:18">
      <c r="A14" s="483" t="s">
        <v>6855</v>
      </c>
    </row>
    <row r="16" spans="1:18" s="15" customFormat="1" ht="20.100000000000001" customHeight="1">
      <c r="A16" s="18" t="s">
        <v>1140</v>
      </c>
      <c r="B16" s="519" t="s">
        <v>1098</v>
      </c>
      <c r="C16" s="519"/>
      <c r="D16" s="19" t="s">
        <v>14</v>
      </c>
      <c r="E16" s="19"/>
      <c r="F16" s="18"/>
      <c r="G16" s="17"/>
      <c r="H16" s="16" t="s">
        <v>13</v>
      </c>
    </row>
    <row r="18" spans="1:14">
      <c r="A18" s="485"/>
      <c r="B18" s="485"/>
      <c r="C18" s="485"/>
      <c r="D18" s="168" t="s">
        <v>6856</v>
      </c>
      <c r="E18" s="482"/>
      <c r="F18"/>
      <c r="G18"/>
      <c r="H18" s="514"/>
      <c r="I18" s="242"/>
    </row>
    <row r="19" spans="1:14">
      <c r="A19"/>
      <c r="B19"/>
      <c r="C19"/>
      <c r="E19" s="482"/>
      <c r="F19"/>
      <c r="G19"/>
      <c r="H19"/>
      <c r="I19"/>
      <c r="K19" s="483" t="s">
        <v>3565</v>
      </c>
      <c r="N19" s="483">
        <f>19060/2</f>
        <v>9530</v>
      </c>
    </row>
    <row r="20" spans="1:14">
      <c r="A20" s="485" t="s">
        <v>6846</v>
      </c>
      <c r="B20" s="335" t="s">
        <v>6847</v>
      </c>
      <c r="C20" s="485"/>
      <c r="D20" s="483" t="s">
        <v>6857</v>
      </c>
      <c r="E20"/>
      <c r="F20"/>
      <c r="G20"/>
      <c r="I20"/>
      <c r="J20" s="483">
        <f>100/400</f>
        <v>0.25</v>
      </c>
      <c r="K20" s="167" t="s">
        <v>3566</v>
      </c>
    </row>
    <row r="21" spans="1:14">
      <c r="A21" s="485"/>
      <c r="B21" s="485"/>
      <c r="C21" s="485"/>
      <c r="D21" s="483" t="s">
        <v>6858</v>
      </c>
      <c r="E21"/>
      <c r="F21"/>
      <c r="G21"/>
      <c r="H21" s="483">
        <f>40*1498</f>
        <v>59920</v>
      </c>
      <c r="I21"/>
    </row>
    <row r="22" spans="1:14">
      <c r="A22" s="485"/>
      <c r="B22" s="485"/>
      <c r="C22" s="121"/>
      <c r="D22" s="483" t="s">
        <v>6859</v>
      </c>
      <c r="E22"/>
      <c r="F22"/>
      <c r="G22"/>
      <c r="H22" s="483">
        <f>50*51</f>
        <v>2550</v>
      </c>
      <c r="I22"/>
    </row>
    <row r="23" spans="1:14">
      <c r="A23" s="485"/>
      <c r="B23" s="485"/>
      <c r="C23" s="410"/>
      <c r="D23" s="483" t="s">
        <v>6860</v>
      </c>
      <c r="E23" s="482"/>
      <c r="F23" s="410"/>
      <c r="G23" s="410"/>
      <c r="H23" s="483">
        <f>80*95</f>
        <v>7600</v>
      </c>
      <c r="I23"/>
    </row>
    <row r="24" spans="1:14">
      <c r="A24" s="485"/>
      <c r="B24" s="485"/>
      <c r="C24" s="485"/>
      <c r="E24" s="410"/>
      <c r="F24" s="410"/>
      <c r="I24"/>
    </row>
    <row r="25" spans="1:14">
      <c r="A25" s="485"/>
      <c r="B25" s="485"/>
      <c r="C25" s="485"/>
      <c r="E25" s="410"/>
      <c r="F25" s="410"/>
    </row>
    <row r="26" spans="1:14">
      <c r="A26" s="485"/>
      <c r="B26" s="485"/>
    </row>
    <row r="27" spans="1:14">
      <c r="A27" s="485"/>
      <c r="B27" s="485"/>
      <c r="C27" s="485"/>
      <c r="E27" s="482"/>
      <c r="F27" s="410"/>
      <c r="H27" s="149"/>
    </row>
    <row r="28" spans="1:14">
      <c r="A28" s="485"/>
      <c r="B28" s="485"/>
      <c r="C28" s="485"/>
      <c r="E28" s="482"/>
      <c r="F28" s="410"/>
      <c r="H28" s="149"/>
    </row>
    <row r="29" spans="1:14">
      <c r="A29" s="485"/>
      <c r="B29" s="485"/>
      <c r="C29" s="485"/>
      <c r="E29" s="410"/>
      <c r="F29" s="410"/>
      <c r="H29" s="149"/>
    </row>
    <row r="30" spans="1:14">
      <c r="A30" s="485"/>
      <c r="B30" s="485"/>
      <c r="C30"/>
      <c r="E30"/>
      <c r="F30"/>
      <c r="G30"/>
      <c r="H30" s="149"/>
    </row>
    <row r="31" spans="1:14">
      <c r="A31" s="255"/>
      <c r="B31" s="255"/>
      <c r="C31" s="255"/>
      <c r="E31" s="410"/>
      <c r="F31" s="410"/>
      <c r="G31" s="410"/>
      <c r="H31" s="149"/>
    </row>
    <row r="32" spans="1:14">
      <c r="A32" s="255"/>
      <c r="B32" s="255"/>
      <c r="C32" s="255"/>
      <c r="E32" s="410"/>
      <c r="F32" s="410"/>
      <c r="G32" s="410"/>
      <c r="H32" s="149"/>
    </row>
    <row r="33" spans="1:8">
      <c r="A33" s="486"/>
      <c r="H33" s="149"/>
    </row>
    <row r="34" spans="1:8" ht="13.5" thickBot="1">
      <c r="A34"/>
      <c r="B34"/>
      <c r="C34"/>
      <c r="D34"/>
      <c r="E34"/>
      <c r="F34"/>
      <c r="G34"/>
      <c r="H34" s="117">
        <f>SUM(H18:H33)</f>
        <v>70070</v>
      </c>
    </row>
    <row r="35" spans="1:8" ht="12.75" customHeight="1" thickTop="1">
      <c r="A35"/>
      <c r="B35"/>
      <c r="C35"/>
      <c r="D35"/>
      <c r="E35"/>
      <c r="F35"/>
      <c r="G35"/>
      <c r="H35"/>
    </row>
    <row r="36" spans="1:8" ht="21.75" customHeight="1">
      <c r="A36" s="118" t="s">
        <v>1133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Seventy Thousand Seventy and NO/100 -----------</v>
      </c>
      <c r="C36" s="202"/>
      <c r="D36" s="119"/>
      <c r="E36" s="119"/>
      <c r="F36" s="119"/>
      <c r="G36" s="119"/>
      <c r="H36" s="119"/>
    </row>
    <row r="37" spans="1:8" ht="12" customHeight="1">
      <c r="A37" s="160"/>
      <c r="B37" s="151"/>
      <c r="C37" s="151"/>
      <c r="D37" s="126"/>
      <c r="E37" s="126"/>
      <c r="F37" s="126"/>
      <c r="G37" s="126"/>
      <c r="H37" s="126"/>
    </row>
    <row r="38" spans="1:8" ht="25.5">
      <c r="A38" s="160" t="s">
        <v>3060</v>
      </c>
      <c r="B38"/>
      <c r="C38"/>
      <c r="D38"/>
      <c r="E38"/>
      <c r="F38" s="265" t="s">
        <v>2894</v>
      </c>
      <c r="G38" s="266"/>
      <c r="H38" s="267"/>
    </row>
    <row r="39" spans="1:8">
      <c r="A39"/>
      <c r="B39"/>
      <c r="C39"/>
      <c r="D39"/>
      <c r="E39"/>
      <c r="F39" s="310"/>
      <c r="G39" s="311"/>
      <c r="H39" s="311"/>
    </row>
    <row r="40" spans="1:8">
      <c r="A40"/>
      <c r="B40"/>
      <c r="C40"/>
      <c r="D40" s="121"/>
      <c r="E40" s="121"/>
      <c r="F40"/>
      <c r="G40"/>
      <c r="H40"/>
    </row>
    <row r="41" spans="1:8">
      <c r="A41"/>
      <c r="B41"/>
      <c r="C41"/>
      <c r="D41" s="121"/>
      <c r="E41" s="121"/>
      <c r="F41"/>
      <c r="G41"/>
      <c r="H41"/>
    </row>
    <row r="42" spans="1:8">
      <c r="A42" s="122"/>
      <c r="B42" s="122"/>
      <c r="F42"/>
      <c r="G42"/>
      <c r="H42"/>
    </row>
    <row r="44" spans="1:8">
      <c r="A44" s="487" t="s">
        <v>8</v>
      </c>
      <c r="B44"/>
      <c r="C44"/>
      <c r="D44" s="487" t="s">
        <v>8</v>
      </c>
      <c r="E44"/>
      <c r="F44" s="487" t="s">
        <v>7</v>
      </c>
      <c r="G44"/>
      <c r="H44" s="124"/>
    </row>
    <row r="45" spans="1:8" s="126" customFormat="1" ht="17.100000000000001" customHeight="1">
      <c r="A45" s="151"/>
      <c r="B45" s="125"/>
      <c r="C45" s="125"/>
      <c r="D45" s="151"/>
    </row>
    <row r="47" spans="1:8">
      <c r="A47"/>
      <c r="B47"/>
      <c r="C47"/>
      <c r="D47"/>
      <c r="E47"/>
    </row>
    <row r="48" spans="1:8">
      <c r="A48" s="122"/>
      <c r="B48" s="122"/>
      <c r="D48" s="122"/>
      <c r="E48"/>
      <c r="F48" s="122"/>
      <c r="G48" s="122"/>
      <c r="H48" s="122"/>
    </row>
    <row r="49" spans="1:8">
      <c r="A49" s="483" t="s">
        <v>2948</v>
      </c>
      <c r="B49" s="125"/>
      <c r="C49" s="125"/>
      <c r="D49" s="483" t="s">
        <v>103</v>
      </c>
      <c r="E49" s="126"/>
      <c r="F49" s="126" t="s">
        <v>3</v>
      </c>
      <c r="G49" s="126"/>
      <c r="H49" s="126"/>
    </row>
    <row r="50" spans="1:8">
      <c r="A50"/>
      <c r="B50"/>
      <c r="C50"/>
      <c r="D50"/>
      <c r="E50"/>
      <c r="F50" s="483" t="s">
        <v>2</v>
      </c>
      <c r="G50"/>
      <c r="H50"/>
    </row>
    <row r="52" spans="1:8">
      <c r="A52"/>
      <c r="B52"/>
      <c r="C52"/>
      <c r="D52"/>
      <c r="E52"/>
      <c r="F52" s="482" t="s">
        <v>1</v>
      </c>
      <c r="G52"/>
      <c r="H52"/>
    </row>
    <row r="53" spans="1:8">
      <c r="F53" s="482" t="s">
        <v>0</v>
      </c>
      <c r="G53"/>
    </row>
    <row r="58" spans="1:8">
      <c r="D58"/>
      <c r="E58"/>
      <c r="F58"/>
      <c r="G58"/>
      <c r="H58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6B70-F122-4F24-B985-002B4615F715}">
  <sheetPr codeName="Sheet542">
    <pageSetUpPr fitToPage="1"/>
  </sheetPr>
  <dimension ref="A1:G55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32" t="s">
        <v>5537</v>
      </c>
      <c r="F9" s="111"/>
    </row>
    <row r="10" spans="1:6">
      <c r="A10" s="111" t="s">
        <v>5539</v>
      </c>
      <c r="B10" s="111"/>
      <c r="C10" s="111"/>
      <c r="D10" s="112" t="s">
        <v>1162</v>
      </c>
      <c r="E10" s="132" t="s">
        <v>5536</v>
      </c>
      <c r="F10" s="111"/>
    </row>
    <row r="11" spans="1:6">
      <c r="A11" s="111" t="s">
        <v>5540</v>
      </c>
      <c r="B11" s="111"/>
      <c r="C11" s="111"/>
      <c r="D11" s="112" t="s">
        <v>1163</v>
      </c>
      <c r="E11" s="132" t="s">
        <v>1094</v>
      </c>
      <c r="F11" s="111"/>
    </row>
    <row r="12" spans="1:6">
      <c r="A12" s="111" t="s">
        <v>5541</v>
      </c>
      <c r="B12" s="111"/>
      <c r="C12" s="111"/>
      <c r="D12" s="112" t="s">
        <v>1135</v>
      </c>
      <c r="E12" s="111" t="s">
        <v>5538</v>
      </c>
      <c r="F12" s="111"/>
    </row>
    <row r="13" spans="1:6">
      <c r="A13" s="111" t="s">
        <v>1572</v>
      </c>
      <c r="B13" s="111"/>
      <c r="C13" s="111"/>
      <c r="D13" s="111"/>
      <c r="E13" s="111"/>
      <c r="F13" s="111"/>
    </row>
    <row r="14" spans="1:6">
      <c r="A14" s="111" t="s">
        <v>1257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C18" s="2" t="s">
        <v>3176</v>
      </c>
      <c r="D18" s="111"/>
      <c r="E18" s="111"/>
      <c r="F18" s="111"/>
    </row>
    <row r="19" spans="1:7">
      <c r="A19" s="111"/>
      <c r="B19" s="116"/>
      <c r="C19" s="111"/>
      <c r="D19" s="111"/>
      <c r="E19" s="111"/>
      <c r="F19" s="111"/>
      <c r="G19" s="111"/>
    </row>
    <row r="20" spans="1:7">
      <c r="A20" s="116" t="s">
        <v>5515</v>
      </c>
      <c r="B20" s="116" t="s">
        <v>5542</v>
      </c>
      <c r="C20" s="111" t="s">
        <v>5543</v>
      </c>
      <c r="D20" s="111"/>
      <c r="E20" s="116"/>
      <c r="F20" s="111">
        <v>1600</v>
      </c>
      <c r="G20" s="111"/>
    </row>
    <row r="21" spans="1:7">
      <c r="A21" s="112"/>
      <c r="B21" s="120"/>
      <c r="C21" s="111"/>
      <c r="D21" s="111"/>
      <c r="E21" s="111"/>
      <c r="F21" s="111"/>
      <c r="G21" s="111"/>
    </row>
    <row r="22" spans="1:7">
      <c r="A22" s="116"/>
      <c r="B22" s="120"/>
      <c r="C22" s="111"/>
      <c r="D22" s="111"/>
      <c r="E22" s="116"/>
      <c r="F22" s="111"/>
      <c r="G22" s="111"/>
    </row>
    <row r="23" spans="1:7">
      <c r="A23" s="116"/>
      <c r="B23" s="121"/>
      <c r="C23" s="111"/>
      <c r="D23" s="111"/>
      <c r="E23" s="111"/>
      <c r="F23" s="111"/>
      <c r="G23" s="111"/>
    </row>
    <row r="24" spans="1:7">
      <c r="A24" s="116"/>
      <c r="B24" s="116"/>
      <c r="C24" s="111"/>
      <c r="D24" s="111"/>
      <c r="E24" s="111"/>
      <c r="F24" s="111"/>
      <c r="G24" s="111"/>
    </row>
    <row r="25" spans="1:7">
      <c r="A25" s="111"/>
      <c r="B25" s="116"/>
      <c r="C25" s="111"/>
      <c r="D25" s="111"/>
      <c r="E25" s="111"/>
      <c r="F25" s="111"/>
      <c r="G25" s="111"/>
    </row>
    <row r="26" spans="1:7">
      <c r="A26" s="116"/>
      <c r="B26" s="120"/>
      <c r="C26" s="111"/>
      <c r="D26" s="111"/>
      <c r="E26" s="111"/>
      <c r="F26" s="111"/>
      <c r="G26" s="111"/>
    </row>
    <row r="27" spans="1:7">
      <c r="A27" s="112"/>
      <c r="B27" s="120"/>
      <c r="C27" s="111"/>
      <c r="D27" s="111"/>
      <c r="E27" s="111"/>
      <c r="F27" s="111"/>
      <c r="G27" s="111"/>
    </row>
    <row r="28" spans="1:7">
      <c r="A28" s="116"/>
      <c r="B28" s="116"/>
      <c r="C28" s="111"/>
      <c r="D28" s="111"/>
      <c r="E28" s="116"/>
      <c r="F28" s="111"/>
      <c r="G28" s="111"/>
    </row>
    <row r="29" spans="1:7">
      <c r="A29" s="116"/>
      <c r="B29" s="111"/>
      <c r="C29" s="111"/>
      <c r="D29" s="111"/>
      <c r="E29" s="111"/>
      <c r="F29" s="111"/>
      <c r="G29" s="111"/>
    </row>
    <row r="30" spans="1:7">
      <c r="A30" s="111"/>
      <c r="B30" s="120"/>
      <c r="C30" s="111"/>
      <c r="D30" s="111"/>
      <c r="E30" s="111"/>
      <c r="F30" s="111"/>
    </row>
    <row r="31" spans="1:7">
      <c r="A31" s="116"/>
      <c r="B31" s="120"/>
      <c r="C31" s="111"/>
      <c r="D31" s="111"/>
      <c r="E31" s="111"/>
      <c r="F31" s="111"/>
    </row>
    <row r="32" spans="1:7">
      <c r="A32" s="116"/>
      <c r="B32" s="120"/>
      <c r="C32" s="111"/>
      <c r="D32" s="111"/>
      <c r="E32" s="111"/>
    </row>
    <row r="33" spans="1:6">
      <c r="A33" s="111"/>
      <c r="B33" s="111"/>
      <c r="C33" s="111"/>
      <c r="D33" s="111"/>
      <c r="E33" s="111"/>
    </row>
    <row r="34" spans="1:6" ht="13.5" thickBot="1">
      <c r="A34" s="111"/>
      <c r="B34" s="111"/>
      <c r="C34" s="111"/>
      <c r="D34" s="111"/>
      <c r="E34" s="111"/>
      <c r="F34" s="117">
        <f>SUM(F18:F33)</f>
        <v>1600</v>
      </c>
    </row>
    <row r="35" spans="1:6" ht="13.5" thickTop="1">
      <c r="A35" s="111"/>
      <c r="B35" s="111"/>
      <c r="C35" s="111"/>
      <c r="D35" s="111"/>
      <c r="E35" s="111"/>
      <c r="F35" s="111"/>
    </row>
    <row r="36" spans="1:6" ht="20.100000000000001" customHeight="1">
      <c r="A36" s="118" t="s">
        <v>1133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Six Hundred and NO/100 -----------</v>
      </c>
      <c r="C36" s="119"/>
      <c r="D36" s="119"/>
      <c r="E36" s="119"/>
      <c r="F36" s="119"/>
    </row>
    <row r="37" spans="1:6">
      <c r="A37" s="120" t="s">
        <v>11</v>
      </c>
      <c r="B37" s="111"/>
      <c r="C37" s="111"/>
      <c r="D37" s="111"/>
      <c r="E37" s="111"/>
      <c r="F37" s="111"/>
    </row>
    <row r="38" spans="1:6">
      <c r="A38" s="111" t="s">
        <v>10</v>
      </c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21"/>
      <c r="D41" s="111"/>
      <c r="E41" s="111"/>
      <c r="F41" s="111"/>
    </row>
    <row r="42" spans="1:6">
      <c r="A42" s="122"/>
      <c r="B42" s="122"/>
      <c r="C42" s="111"/>
      <c r="D42" s="111"/>
      <c r="E42" s="111"/>
      <c r="F42" s="111"/>
    </row>
    <row r="43" spans="1:6">
      <c r="B43" s="111"/>
      <c r="C43" s="111"/>
      <c r="D43" s="111"/>
      <c r="E43" s="111"/>
      <c r="F43" s="111"/>
    </row>
    <row r="44" spans="1:6">
      <c r="A44" s="123" t="s">
        <v>8</v>
      </c>
      <c r="C44" s="111"/>
      <c r="D44" s="123" t="s">
        <v>7</v>
      </c>
      <c r="E44" s="111"/>
      <c r="F44" s="124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22"/>
      <c r="B48" s="122"/>
      <c r="C48" s="111"/>
      <c r="D48" s="122"/>
      <c r="E48" s="122"/>
      <c r="F48" s="122"/>
    </row>
    <row r="49" spans="1:6" s="3" customFormat="1" ht="17.100000000000001" customHeight="1">
      <c r="A49" s="151" t="s">
        <v>2948</v>
      </c>
      <c r="B49" s="125"/>
      <c r="C49" s="126"/>
      <c r="D49" s="126" t="s">
        <v>3</v>
      </c>
      <c r="E49" s="126"/>
      <c r="F49" s="126"/>
    </row>
    <row r="50" spans="1:6">
      <c r="A50" s="151"/>
      <c r="B50" s="111"/>
      <c r="C50" s="111"/>
      <c r="D50" s="111" t="s">
        <v>2</v>
      </c>
      <c r="E50" s="111"/>
      <c r="F50" s="111"/>
    </row>
    <row r="51" spans="1:6">
      <c r="A51" s="111"/>
      <c r="B51" s="111"/>
      <c r="C51" s="111"/>
      <c r="D51" s="111"/>
      <c r="E51" s="111"/>
      <c r="F51" s="111"/>
    </row>
    <row r="52" spans="1:6">
      <c r="A52" s="111"/>
      <c r="B52" s="111"/>
      <c r="C52" s="111"/>
      <c r="D52" s="2" t="s">
        <v>1</v>
      </c>
      <c r="E52" s="111"/>
      <c r="F52" s="111"/>
    </row>
    <row r="53" spans="1:6">
      <c r="A53" s="111"/>
      <c r="B53" s="111"/>
      <c r="C53" s="111"/>
      <c r="D53" s="2" t="s">
        <v>0</v>
      </c>
      <c r="E53" s="111"/>
      <c r="F53" s="111"/>
    </row>
    <row r="54" spans="1:6">
      <c r="A54" s="111"/>
      <c r="B54" s="111"/>
      <c r="C54" s="111"/>
      <c r="D54" s="111"/>
      <c r="E54" s="111"/>
      <c r="F54" s="111"/>
    </row>
    <row r="55" spans="1:6">
      <c r="A55" s="111"/>
      <c r="B55" s="111"/>
      <c r="C55" s="111"/>
      <c r="D55" s="111"/>
      <c r="E55" s="111"/>
      <c r="F55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15404-2893-47E0-B522-E125456EA2D4}">
  <sheetPr codeName="Sheet510">
    <pageSetUpPr fitToPage="1"/>
  </sheetPr>
  <dimension ref="A1:F55"/>
  <sheetViews>
    <sheetView zoomScaleNormal="100" workbookViewId="0">
      <selection activeCell="G9" sqref="G9:G13"/>
    </sheetView>
  </sheetViews>
  <sheetFormatPr defaultRowHeight="12.75"/>
  <cols>
    <col min="1" max="1" width="15.42578125" style="111" customWidth="1"/>
    <col min="2" max="2" width="12.42578125" style="111" customWidth="1"/>
    <col min="3" max="3" width="21" style="111" customWidth="1"/>
    <col min="4" max="4" width="16.42578125" style="111" customWidth="1"/>
    <col min="5" max="5" width="11.28515625" style="111" customWidth="1"/>
    <col min="6" max="6" width="13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1716</v>
      </c>
      <c r="E9" s="132" t="s">
        <v>5088</v>
      </c>
    </row>
    <row r="10" spans="1:6">
      <c r="A10" s="111" t="s">
        <v>5090</v>
      </c>
      <c r="D10" s="112" t="s">
        <v>1162</v>
      </c>
      <c r="E10" s="132" t="s">
        <v>5087</v>
      </c>
    </row>
    <row r="11" spans="1:6">
      <c r="A11" s="111" t="s">
        <v>5091</v>
      </c>
      <c r="D11" s="112" t="s">
        <v>1163</v>
      </c>
      <c r="E11" s="132" t="s">
        <v>1094</v>
      </c>
    </row>
    <row r="12" spans="1:6">
      <c r="A12" s="111" t="s">
        <v>5092</v>
      </c>
      <c r="D12" s="112" t="s">
        <v>1096</v>
      </c>
      <c r="E12" s="120" t="s">
        <v>5089</v>
      </c>
    </row>
    <row r="13" spans="1:6">
      <c r="A13" s="111" t="s">
        <v>1354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8" spans="1:6">
      <c r="C18" s="2" t="s">
        <v>3176</v>
      </c>
    </row>
    <row r="20" spans="1:6">
      <c r="A20" s="116" t="s">
        <v>5093</v>
      </c>
      <c r="B20" s="335" t="s">
        <v>5094</v>
      </c>
      <c r="C20" s="111" t="s">
        <v>5096</v>
      </c>
      <c r="F20" s="111">
        <v>500</v>
      </c>
    </row>
    <row r="21" spans="1:6">
      <c r="B21" s="120" t="s">
        <v>5095</v>
      </c>
    </row>
    <row r="22" spans="1:6">
      <c r="A22" s="116"/>
      <c r="B22" s="116"/>
    </row>
    <row r="23" spans="1:6">
      <c r="A23" s="116"/>
      <c r="B23" s="116"/>
      <c r="C23" s="2"/>
    </row>
    <row r="24" spans="1:6">
      <c r="A24" s="116"/>
      <c r="B24" s="116"/>
    </row>
    <row r="25" spans="1:6">
      <c r="A25" s="116"/>
      <c r="B25" s="116"/>
    </row>
    <row r="26" spans="1:6">
      <c r="A26" s="116"/>
      <c r="B26" s="116"/>
    </row>
    <row r="27" spans="1:6">
      <c r="A27" s="116"/>
      <c r="B27" s="121"/>
    </row>
    <row r="28" spans="1:6">
      <c r="A28" s="116"/>
      <c r="B28" s="116"/>
      <c r="C28" s="2"/>
    </row>
    <row r="30" spans="1:6">
      <c r="A30" s="116"/>
      <c r="B30" s="116"/>
    </row>
    <row r="31" spans="1:6">
      <c r="A31" s="116"/>
      <c r="B31" s="121"/>
    </row>
    <row r="32" spans="1:6">
      <c r="C32" s="2"/>
    </row>
    <row r="34" spans="1:6">
      <c r="A34" s="116"/>
      <c r="B34" s="121"/>
    </row>
    <row r="36" spans="1:6" ht="13.5" thickBot="1">
      <c r="F36" s="127">
        <f>SUM(F18:F35)</f>
        <v>500</v>
      </c>
    </row>
    <row r="37" spans="1:6" ht="13.5" thickTop="1"/>
    <row r="38" spans="1:6" ht="20.100000000000001" customHeight="1">
      <c r="A38" s="118" t="s">
        <v>1717</v>
      </c>
      <c r="B38" s="202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Five Hundred and NO/100 -----------</v>
      </c>
      <c r="C38" s="119"/>
      <c r="D38" s="263"/>
      <c r="E38" s="263"/>
      <c r="F38" s="263"/>
    </row>
    <row r="39" spans="1:6" ht="20.100000000000001" customHeight="1">
      <c r="A39" s="160"/>
      <c r="B39" s="151"/>
      <c r="C39" s="126"/>
      <c r="D39" s="263"/>
      <c r="E39" s="263"/>
      <c r="F39" s="263"/>
    </row>
    <row r="40" spans="1:6" ht="25.5">
      <c r="A40" s="269" t="s">
        <v>3060</v>
      </c>
      <c r="D40" s="265" t="s">
        <v>2894</v>
      </c>
      <c r="E40" s="266"/>
      <c r="F40" s="267"/>
    </row>
    <row r="41" spans="1:6">
      <c r="A41" s="123"/>
      <c r="D41" s="310"/>
      <c r="E41" s="311"/>
      <c r="F41" s="311"/>
    </row>
    <row r="42" spans="1:6">
      <c r="C42" s="121"/>
    </row>
    <row r="43" spans="1:6">
      <c r="A43" s="123"/>
      <c r="C43" s="121"/>
    </row>
    <row r="44" spans="1:6">
      <c r="A44" s="150"/>
      <c r="B44" s="122"/>
    </row>
    <row r="45" spans="1:6">
      <c r="A45" s="123"/>
    </row>
    <row r="46" spans="1:6">
      <c r="A46" s="123" t="s">
        <v>8</v>
      </c>
      <c r="D46" s="123" t="s">
        <v>7</v>
      </c>
      <c r="F46" s="124"/>
    </row>
    <row r="47" spans="1:6">
      <c r="A47" s="123"/>
    </row>
    <row r="48" spans="1:6">
      <c r="A48" s="123"/>
    </row>
    <row r="49" spans="1:6">
      <c r="A49" s="123"/>
    </row>
    <row r="50" spans="1:6">
      <c r="A50" s="150"/>
      <c r="B50" s="122"/>
      <c r="D50" s="122"/>
      <c r="E50" s="122"/>
      <c r="F50" s="122"/>
    </row>
    <row r="51" spans="1:6" s="126" customFormat="1" ht="17.100000000000001" customHeight="1">
      <c r="A51" s="123" t="s">
        <v>3441</v>
      </c>
      <c r="B51" s="125"/>
      <c r="D51" s="126" t="s">
        <v>3</v>
      </c>
    </row>
    <row r="52" spans="1:6">
      <c r="A52" s="123"/>
      <c r="D52" s="111" t="s">
        <v>2</v>
      </c>
    </row>
    <row r="53" spans="1:6">
      <c r="A53" s="123"/>
    </row>
    <row r="54" spans="1:6">
      <c r="D54" s="2" t="s">
        <v>1</v>
      </c>
    </row>
    <row r="55" spans="1:6">
      <c r="D55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046B2-E50A-41B5-8F03-826092548D86}">
  <sheetPr codeName="Sheet512">
    <pageSetUpPr fitToPage="1"/>
  </sheetPr>
  <dimension ref="A1:K65"/>
  <sheetViews>
    <sheetView topLeftCell="A7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0" width="9.140625" style="1"/>
    <col min="11" max="11" width="12.85546875" style="1" bestFit="1" customWidth="1"/>
    <col min="12" max="16384" width="9.140625" style="1"/>
  </cols>
  <sheetData>
    <row r="1" spans="1:10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0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0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0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0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0">
      <c r="A9" s="111"/>
      <c r="B9" s="111"/>
      <c r="C9" s="111"/>
      <c r="D9" s="111"/>
      <c r="E9" s="111"/>
      <c r="F9" s="112" t="s">
        <v>22</v>
      </c>
      <c r="G9" s="111" t="s">
        <v>5176</v>
      </c>
      <c r="H9" s="111"/>
    </row>
    <row r="10" spans="1:10">
      <c r="A10" s="111" t="s">
        <v>5182</v>
      </c>
      <c r="B10" s="111"/>
      <c r="C10" s="111"/>
      <c r="D10" s="111"/>
      <c r="E10" s="111"/>
      <c r="F10" s="112" t="s">
        <v>21</v>
      </c>
      <c r="G10" s="112" t="s">
        <v>5152</v>
      </c>
      <c r="H10" s="111"/>
      <c r="J10" s="21"/>
    </row>
    <row r="11" spans="1:10">
      <c r="A11" s="111" t="s">
        <v>5183</v>
      </c>
      <c r="B11" s="111"/>
      <c r="C11" s="111"/>
      <c r="D11" s="111"/>
      <c r="E11" s="111"/>
      <c r="F11" s="112" t="s">
        <v>19</v>
      </c>
      <c r="G11" s="112" t="s">
        <v>1094</v>
      </c>
      <c r="H11" s="111"/>
      <c r="J11" s="336"/>
    </row>
    <row r="12" spans="1:10">
      <c r="A12" s="111" t="s">
        <v>5184</v>
      </c>
      <c r="B12" s="111"/>
      <c r="C12" s="111"/>
      <c r="D12" s="111"/>
      <c r="E12" s="111"/>
      <c r="F12" s="112" t="s">
        <v>17</v>
      </c>
      <c r="G12" s="112" t="s">
        <v>1270</v>
      </c>
      <c r="H12" s="111"/>
    </row>
    <row r="13" spans="1:10">
      <c r="A13" s="111" t="s">
        <v>5185</v>
      </c>
      <c r="B13" s="111"/>
      <c r="C13" s="111"/>
      <c r="D13" s="111"/>
      <c r="E13" s="111"/>
      <c r="F13" s="111"/>
      <c r="G13" s="111"/>
      <c r="H13" s="111"/>
    </row>
    <row r="14" spans="1:10">
      <c r="A14" s="111" t="s">
        <v>4239</v>
      </c>
      <c r="B14" s="111"/>
      <c r="C14" s="111"/>
      <c r="D14" s="111"/>
      <c r="E14" s="111"/>
      <c r="F14" s="111"/>
      <c r="G14" s="111"/>
      <c r="H14" s="111"/>
    </row>
    <row r="15" spans="1:10">
      <c r="A15" s="111"/>
      <c r="B15" s="111"/>
      <c r="C15" s="111"/>
      <c r="D15" s="111"/>
      <c r="E15" s="111"/>
      <c r="F15" s="111"/>
      <c r="G15" s="111"/>
      <c r="H15" s="111"/>
    </row>
    <row r="16" spans="1:10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11">
      <c r="A17" s="111"/>
      <c r="B17" s="111"/>
      <c r="C17" s="111"/>
      <c r="D17" s="111"/>
      <c r="E17" s="111"/>
      <c r="F17" s="111"/>
      <c r="G17" s="111"/>
      <c r="H17" s="111"/>
    </row>
    <row r="18" spans="1:11">
      <c r="A18" s="111"/>
      <c r="B18" s="111"/>
      <c r="C18" s="111"/>
      <c r="D18" s="2" t="s">
        <v>5177</v>
      </c>
      <c r="E18" s="2"/>
      <c r="F18" s="111"/>
      <c r="G18" s="111"/>
      <c r="H18" s="111"/>
      <c r="K18" s="337"/>
    </row>
    <row r="19" spans="1:11">
      <c r="A19" s="111"/>
      <c r="B19" s="111"/>
      <c r="C19" s="111"/>
      <c r="D19" s="2"/>
      <c r="E19" s="2"/>
      <c r="F19" s="111"/>
      <c r="G19" s="111"/>
      <c r="H19" s="111"/>
    </row>
    <row r="20" spans="1:11">
      <c r="A20" s="116" t="s">
        <v>5178</v>
      </c>
      <c r="B20" s="335" t="s">
        <v>5179</v>
      </c>
      <c r="C20" s="116"/>
      <c r="D20" s="111" t="s">
        <v>5180</v>
      </c>
      <c r="E20" s="111"/>
      <c r="F20" s="111"/>
      <c r="G20" s="111"/>
      <c r="H20" s="111">
        <f>400000000*0.000292</f>
        <v>116800</v>
      </c>
    </row>
    <row r="21" spans="1:11">
      <c r="A21" s="111"/>
      <c r="B21" s="120"/>
      <c r="C21" s="120"/>
      <c r="D21" s="111" t="s">
        <v>5181</v>
      </c>
      <c r="E21" s="111"/>
      <c r="F21" s="111"/>
      <c r="G21" s="111"/>
      <c r="H21" s="111"/>
    </row>
    <row r="22" spans="1:11">
      <c r="A22" s="116"/>
      <c r="B22" s="116"/>
      <c r="C22" s="116"/>
      <c r="D22" s="111"/>
      <c r="F22" s="111"/>
      <c r="G22" s="111"/>
      <c r="H22" s="111"/>
    </row>
    <row r="23" spans="1:11">
      <c r="A23" s="116"/>
      <c r="B23" s="335"/>
      <c r="C23" s="120"/>
      <c r="D23" s="111" t="s">
        <v>1697</v>
      </c>
      <c r="E23" s="111"/>
      <c r="F23" s="111"/>
      <c r="G23" s="111"/>
      <c r="H23" s="111">
        <v>20</v>
      </c>
    </row>
    <row r="24" spans="1:11">
      <c r="A24" s="116"/>
      <c r="B24" s="116"/>
      <c r="C24" s="116"/>
      <c r="D24" s="111"/>
      <c r="E24" s="111"/>
      <c r="F24" s="111"/>
      <c r="G24" s="111"/>
      <c r="H24" s="111"/>
    </row>
    <row r="25" spans="1:11">
      <c r="A25" s="111"/>
      <c r="B25" s="111"/>
      <c r="C25" s="111"/>
      <c r="D25" s="111"/>
      <c r="H25" s="111"/>
    </row>
    <row r="26" spans="1:11">
      <c r="A26" s="111"/>
      <c r="B26" s="120"/>
      <c r="C26" s="120"/>
      <c r="D26" s="111"/>
      <c r="E26" s="111"/>
    </row>
    <row r="27" spans="1:11">
      <c r="A27" s="111"/>
      <c r="B27" s="111"/>
      <c r="C27" s="111"/>
      <c r="D27" s="111"/>
      <c r="H27" s="111"/>
    </row>
    <row r="28" spans="1:11">
      <c r="A28" s="111"/>
      <c r="B28" s="111"/>
      <c r="C28" s="111"/>
      <c r="D28" s="111"/>
      <c r="E28" s="111"/>
      <c r="F28" s="111"/>
      <c r="G28" s="111"/>
      <c r="H28" s="111"/>
    </row>
    <row r="29" spans="1:11">
      <c r="A29" s="111"/>
      <c r="B29" s="111"/>
      <c r="C29" s="111"/>
      <c r="F29" s="111"/>
      <c r="G29" s="111"/>
      <c r="H29" s="111"/>
    </row>
    <row r="30" spans="1:11">
      <c r="A30" s="111"/>
      <c r="B30" s="120"/>
      <c r="C30" s="120"/>
      <c r="D30" s="167"/>
      <c r="E30" s="167"/>
      <c r="F30" s="111"/>
      <c r="G30" s="111"/>
      <c r="H30" s="111"/>
    </row>
    <row r="31" spans="1:11">
      <c r="A31" s="111"/>
      <c r="B31" s="111"/>
      <c r="C31" s="111"/>
    </row>
    <row r="32" spans="1:11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11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SUM(H18:H33)</f>
        <v>116820</v>
      </c>
    </row>
    <row r="36" spans="1:8" ht="13.5" thickTop="1">
      <c r="A36" s="111"/>
      <c r="B36" s="111"/>
      <c r="C36" s="111"/>
      <c r="D36" s="111"/>
      <c r="E36" s="111"/>
    </row>
    <row r="37" spans="1: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>One Hundred Sixteen Thousand Eight Hundred Twenty and NO/100 -----------</v>
      </c>
      <c r="C37" s="204"/>
      <c r="D37" s="119"/>
      <c r="E37" s="119"/>
      <c r="F37" s="119"/>
      <c r="G37" s="119"/>
      <c r="H37" s="119"/>
    </row>
    <row r="38" spans="1:8" ht="20.100000000000001" customHeight="1">
      <c r="A38" s="160"/>
      <c r="B38" s="145"/>
      <c r="C38" s="145"/>
      <c r="D38" s="126"/>
      <c r="E38" s="126"/>
      <c r="F38" s="126"/>
      <c r="G38" s="126"/>
      <c r="H38" s="126"/>
    </row>
    <row r="39" spans="1:8" ht="25.5">
      <c r="A39" s="120" t="s">
        <v>3060</v>
      </c>
      <c r="B39" s="111"/>
      <c r="C39" s="111"/>
      <c r="D39" s="123" t="s">
        <v>8</v>
      </c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310"/>
      <c r="G40" s="311"/>
      <c r="H40" s="311"/>
    </row>
    <row r="41" spans="1:8"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2"/>
      <c r="B43" s="122"/>
      <c r="C43" s="111"/>
      <c r="D43" s="122"/>
      <c r="E43" s="111"/>
      <c r="F43" s="111"/>
      <c r="G43" s="111"/>
      <c r="H43" s="111"/>
    </row>
    <row r="44" spans="1:8">
      <c r="A44" s="111"/>
      <c r="B44" s="111"/>
      <c r="C44" s="111"/>
      <c r="D44" s="151" t="s">
        <v>103</v>
      </c>
      <c r="E44" s="111"/>
      <c r="F44" s="111"/>
      <c r="G44" s="111"/>
      <c r="H44" s="111"/>
    </row>
    <row r="45" spans="1:8">
      <c r="A45" s="111"/>
      <c r="B45" s="111"/>
      <c r="C45" s="111"/>
      <c r="D45" s="151"/>
      <c r="E45" s="111"/>
      <c r="F45" s="111"/>
      <c r="G45" s="111"/>
      <c r="H45" s="111"/>
    </row>
    <row r="46" spans="1:8">
      <c r="A46" s="123" t="s">
        <v>8</v>
      </c>
      <c r="B46" s="111"/>
      <c r="C46" s="111"/>
      <c r="D46" s="123" t="s">
        <v>8</v>
      </c>
      <c r="E46" s="111"/>
      <c r="F46" s="123" t="s">
        <v>7</v>
      </c>
      <c r="G46" s="111"/>
      <c r="H46" s="124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22"/>
      <c r="B50" s="122"/>
      <c r="C50" s="111"/>
      <c r="D50" s="122"/>
      <c r="E50" s="111"/>
      <c r="F50" s="122"/>
      <c r="G50" s="122"/>
      <c r="H50" s="122"/>
    </row>
    <row r="51" spans="1:8" s="3" customFormat="1" ht="17.100000000000001" customHeight="1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</row>
    <row r="52" spans="1:8">
      <c r="A52" s="111"/>
      <c r="B52" s="111"/>
      <c r="C52" s="111"/>
      <c r="D52" s="111"/>
      <c r="E52" s="111"/>
      <c r="F52" s="111" t="s">
        <v>2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2" t="s">
        <v>1</v>
      </c>
      <c r="G54" s="111"/>
      <c r="H54" s="111"/>
    </row>
    <row r="55" spans="1:8">
      <c r="A55" s="111"/>
      <c r="B55" s="111"/>
      <c r="C55" s="111"/>
      <c r="D55" s="111"/>
      <c r="E55" s="111"/>
      <c r="F55" s="2" t="s">
        <v>0</v>
      </c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  <row r="65" spans="1:8">
      <c r="A65" s="111"/>
      <c r="B65" s="111"/>
      <c r="C65" s="111"/>
      <c r="D65" s="111"/>
      <c r="E65" s="111"/>
      <c r="F65" s="111"/>
      <c r="G65" s="111"/>
      <c r="H65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458C2-26D6-41F6-B500-BA4198306AF2}">
  <sheetPr codeName="Sheet520">
    <pageSetUpPr fitToPage="1"/>
  </sheetPr>
  <dimension ref="A1:K57"/>
  <sheetViews>
    <sheetView topLeftCell="A28" zoomScaleNormal="100" zoomScaleSheetLayoutView="100" workbookViewId="0">
      <selection activeCell="G9" sqref="G9:G13"/>
    </sheetView>
  </sheetViews>
  <sheetFormatPr defaultRowHeight="12.75"/>
  <cols>
    <col min="1" max="1" width="16.140625" style="86" customWidth="1"/>
    <col min="2" max="2" width="12.5703125" style="86" customWidth="1"/>
    <col min="3" max="3" width="23" style="86" customWidth="1"/>
    <col min="4" max="4" width="16.42578125" style="86" customWidth="1"/>
    <col min="5" max="5" width="9" style="86" customWidth="1"/>
    <col min="6" max="6" width="12.85546875" style="86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1481</v>
      </c>
      <c r="B4" s="532"/>
      <c r="C4" s="532"/>
      <c r="D4" s="532"/>
      <c r="E4" s="532"/>
      <c r="F4" s="532"/>
    </row>
    <row r="8" spans="1:6">
      <c r="A8" s="131" t="s">
        <v>24</v>
      </c>
      <c r="B8" s="131"/>
      <c r="C8" s="131"/>
      <c r="D8" s="87" t="s">
        <v>23</v>
      </c>
      <c r="E8" s="131"/>
      <c r="F8" s="131"/>
    </row>
    <row r="9" spans="1:6">
      <c r="A9" s="131"/>
      <c r="B9" s="131"/>
      <c r="C9" s="131"/>
      <c r="D9" s="132" t="s">
        <v>1127</v>
      </c>
      <c r="E9" s="132" t="s">
        <v>5589</v>
      </c>
      <c r="F9" s="111"/>
    </row>
    <row r="10" spans="1:6">
      <c r="A10" s="131" t="s">
        <v>5271</v>
      </c>
      <c r="B10" s="131"/>
      <c r="C10" s="131"/>
      <c r="D10" s="132" t="s">
        <v>1162</v>
      </c>
      <c r="E10" s="132" t="s">
        <v>5586</v>
      </c>
      <c r="F10" s="111"/>
    </row>
    <row r="11" spans="1:6">
      <c r="A11" s="131" t="s">
        <v>5272</v>
      </c>
      <c r="B11" s="131"/>
      <c r="C11" s="131"/>
      <c r="D11" s="132" t="s">
        <v>1163</v>
      </c>
      <c r="E11" s="132" t="s">
        <v>1094</v>
      </c>
      <c r="F11" s="111"/>
    </row>
    <row r="12" spans="1:6">
      <c r="A12" s="131" t="s">
        <v>5273</v>
      </c>
      <c r="B12" s="131"/>
      <c r="C12" s="131"/>
      <c r="D12" s="132" t="s">
        <v>1135</v>
      </c>
      <c r="E12" s="111" t="s">
        <v>5590</v>
      </c>
      <c r="F12" s="111"/>
    </row>
    <row r="13" spans="1:6">
      <c r="A13" s="131" t="s">
        <v>5274</v>
      </c>
      <c r="B13" s="131"/>
      <c r="C13" s="131"/>
      <c r="D13" s="131"/>
      <c r="E13" s="111"/>
      <c r="F13" s="131"/>
    </row>
    <row r="14" spans="1:6">
      <c r="A14" s="131"/>
      <c r="B14" s="131"/>
      <c r="C14" s="131"/>
      <c r="D14" s="131"/>
      <c r="E14" s="131"/>
      <c r="F14" s="131"/>
    </row>
    <row r="15" spans="1:6">
      <c r="A15" s="131"/>
      <c r="B15" s="131"/>
      <c r="C15" s="131"/>
      <c r="D15" s="131"/>
      <c r="E15" s="131"/>
      <c r="F15" s="131"/>
    </row>
    <row r="16" spans="1:6" s="95" customFormat="1" ht="20.100000000000001" customHeight="1">
      <c r="A16" s="90" t="s">
        <v>1122</v>
      </c>
      <c r="B16" s="90" t="s">
        <v>1132</v>
      </c>
      <c r="C16" s="92" t="s">
        <v>14</v>
      </c>
      <c r="D16" s="90"/>
      <c r="E16" s="93"/>
      <c r="F16" s="94" t="s">
        <v>13</v>
      </c>
    </row>
    <row r="17" spans="1:11">
      <c r="A17" s="131"/>
      <c r="B17" s="131"/>
      <c r="C17" s="131"/>
      <c r="D17" s="131"/>
      <c r="E17" s="131"/>
      <c r="F17" s="131"/>
    </row>
    <row r="18" spans="1:11">
      <c r="A18" s="131"/>
      <c r="B18" s="131"/>
      <c r="C18" s="110" t="s">
        <v>5275</v>
      </c>
      <c r="D18" s="131"/>
      <c r="E18" s="131"/>
      <c r="F18" s="131"/>
    </row>
    <row r="19" spans="1:11">
      <c r="A19" s="131"/>
      <c r="B19" s="131"/>
      <c r="C19" s="131"/>
      <c r="D19" s="131"/>
      <c r="E19" s="131"/>
      <c r="F19" s="131"/>
    </row>
    <row r="20" spans="1:11">
      <c r="A20" s="158" t="s">
        <v>5553</v>
      </c>
      <c r="B20" s="158" t="s">
        <v>5554</v>
      </c>
      <c r="C20" s="131" t="s">
        <v>5175</v>
      </c>
      <c r="D20" s="131"/>
      <c r="E20" s="131"/>
      <c r="F20" s="131">
        <v>270</v>
      </c>
      <c r="H20" s="131" t="s">
        <v>5375</v>
      </c>
      <c r="I20" s="131"/>
      <c r="J20" s="131"/>
      <c r="K20" s="131">
        <f>0.3*20000</f>
        <v>6000</v>
      </c>
    </row>
    <row r="21" spans="1:11">
      <c r="A21" s="158"/>
      <c r="B21" s="158"/>
      <c r="C21" s="131"/>
      <c r="D21" s="131"/>
      <c r="E21" s="131"/>
      <c r="F21" s="131"/>
      <c r="H21" s="131" t="s">
        <v>5175</v>
      </c>
      <c r="I21" s="131"/>
      <c r="J21" s="131"/>
      <c r="K21" s="131">
        <f>K20*6%</f>
        <v>360</v>
      </c>
    </row>
    <row r="22" spans="1:11">
      <c r="A22" s="158"/>
      <c r="B22" s="158"/>
      <c r="C22" s="131"/>
      <c r="D22" s="131"/>
      <c r="E22" s="131"/>
      <c r="F22" s="131"/>
    </row>
    <row r="23" spans="1:11">
      <c r="A23" s="131"/>
      <c r="B23" s="140"/>
      <c r="C23" s="131"/>
      <c r="D23" s="131"/>
      <c r="E23" s="131"/>
      <c r="F23" s="131"/>
    </row>
    <row r="24" spans="1:11">
      <c r="A24" s="158"/>
      <c r="B24" s="141"/>
      <c r="C24" s="131"/>
      <c r="D24" s="131"/>
      <c r="E24" s="131"/>
      <c r="F24" s="131"/>
    </row>
    <row r="25" spans="1:11">
      <c r="A25" s="158"/>
      <c r="B25" s="141"/>
      <c r="C25" s="131"/>
      <c r="D25" s="131"/>
      <c r="E25" s="131"/>
      <c r="F25" s="131"/>
    </row>
    <row r="26" spans="1:11">
      <c r="A26" s="158"/>
      <c r="B26" s="141"/>
      <c r="C26" s="110"/>
      <c r="D26" s="131"/>
      <c r="E26" s="131"/>
      <c r="F26" s="131"/>
    </row>
    <row r="27" spans="1:11">
      <c r="A27" s="158"/>
      <c r="B27" s="141"/>
      <c r="C27" s="131"/>
      <c r="D27" s="131"/>
      <c r="E27" s="131"/>
      <c r="F27" s="131"/>
    </row>
    <row r="28" spans="1:11">
      <c r="A28" s="158"/>
      <c r="B28" s="141"/>
      <c r="C28" s="131"/>
      <c r="D28" s="131"/>
      <c r="E28" s="131"/>
      <c r="F28" s="131"/>
    </row>
    <row r="29" spans="1:11">
      <c r="A29" s="158"/>
      <c r="B29" s="140"/>
      <c r="C29" s="131"/>
      <c r="D29" s="131"/>
      <c r="E29" s="131"/>
      <c r="F29" s="131"/>
    </row>
    <row r="30" spans="1:11">
      <c r="A30" s="244"/>
      <c r="B30" s="140"/>
      <c r="C30" s="131"/>
      <c r="D30" s="131"/>
      <c r="E30" s="131"/>
      <c r="F30" s="131"/>
    </row>
    <row r="31" spans="1:11">
      <c r="A31" s="244"/>
      <c r="B31" s="140"/>
      <c r="C31" s="131"/>
      <c r="D31" s="131"/>
      <c r="E31" s="131"/>
      <c r="F31" s="131"/>
    </row>
    <row r="32" spans="1:11">
      <c r="A32" s="246"/>
      <c r="B32" s="140"/>
      <c r="C32" s="131"/>
      <c r="D32" s="131"/>
      <c r="E32" s="131"/>
      <c r="F32" s="131"/>
    </row>
    <row r="33" spans="1:6">
      <c r="A33" s="162"/>
      <c r="B33" s="131"/>
      <c r="C33" s="131"/>
      <c r="D33" s="131"/>
      <c r="E33" s="131"/>
      <c r="F33" s="131"/>
    </row>
    <row r="34" spans="1:6">
      <c r="A34" s="131"/>
      <c r="B34" s="131"/>
      <c r="C34" s="131"/>
    </row>
    <row r="35" spans="1:6" ht="13.5" thickBot="1">
      <c r="A35" s="131"/>
      <c r="B35" s="131"/>
      <c r="C35" s="131"/>
      <c r="D35" s="131"/>
      <c r="E35" s="131"/>
      <c r="F35" s="137">
        <f>SUM(F20:F34)</f>
        <v>270</v>
      </c>
    </row>
    <row r="36" spans="1:6" ht="13.5" thickTop="1">
      <c r="A36" s="131"/>
      <c r="B36" s="131"/>
      <c r="C36" s="131"/>
      <c r="D36" s="131"/>
      <c r="E36" s="131"/>
      <c r="F36" s="131"/>
    </row>
    <row r="37" spans="1:6" ht="21.75" customHeight="1">
      <c r="A37" s="13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Hundred Seventy and NO/100 -----------</v>
      </c>
      <c r="C37" s="139"/>
      <c r="D37" s="423"/>
      <c r="E37" s="423"/>
      <c r="F37" s="423"/>
    </row>
    <row r="38" spans="1:6">
      <c r="A38" s="212"/>
      <c r="B38" s="151"/>
      <c r="C38" s="147"/>
      <c r="D38" s="309"/>
      <c r="E38" s="309"/>
      <c r="F38" s="309"/>
    </row>
    <row r="39" spans="1:6" ht="25.5">
      <c r="A39" s="147" t="s">
        <v>10</v>
      </c>
      <c r="B39" s="151"/>
      <c r="C39" s="147"/>
      <c r="D39" s="265" t="s">
        <v>2894</v>
      </c>
      <c r="E39" s="266"/>
      <c r="F39" s="267"/>
    </row>
    <row r="40" spans="1:6">
      <c r="B40" s="131"/>
      <c r="C40" s="131"/>
      <c r="D40" s="310"/>
      <c r="E40" s="311"/>
      <c r="F40" s="311"/>
    </row>
    <row r="41" spans="1:6">
      <c r="B41" s="131"/>
      <c r="C41" s="131"/>
    </row>
    <row r="42" spans="1:6">
      <c r="A42" s="131"/>
      <c r="B42" s="131"/>
      <c r="C42" s="131"/>
      <c r="D42" s="131"/>
      <c r="E42" s="131"/>
      <c r="F42" s="131"/>
    </row>
    <row r="43" spans="1:6">
      <c r="A43" s="131"/>
      <c r="B43" s="131"/>
      <c r="C43" s="141"/>
      <c r="D43" s="131"/>
      <c r="E43" s="131"/>
      <c r="F43" s="131"/>
    </row>
    <row r="44" spans="1:6">
      <c r="A44" s="142"/>
      <c r="B44" s="142"/>
      <c r="C44" s="131"/>
      <c r="D44" s="131"/>
      <c r="E44" s="131"/>
      <c r="F44" s="131"/>
    </row>
    <row r="45" spans="1:6">
      <c r="B45" s="131"/>
      <c r="C45" s="131"/>
      <c r="D45" s="131"/>
      <c r="E45" s="131"/>
      <c r="F45" s="131"/>
    </row>
    <row r="46" spans="1:6">
      <c r="A46" s="143" t="s">
        <v>8</v>
      </c>
      <c r="C46" s="131"/>
      <c r="D46" s="143" t="s">
        <v>7</v>
      </c>
      <c r="E46" s="131"/>
      <c r="F46" s="144"/>
    </row>
    <row r="47" spans="1:6">
      <c r="A47" s="131"/>
      <c r="B47" s="131"/>
      <c r="C47" s="131"/>
      <c r="D47" s="131"/>
      <c r="E47" s="131"/>
      <c r="F47" s="131"/>
    </row>
    <row r="48" spans="1:6">
      <c r="A48" s="131"/>
      <c r="B48" s="131"/>
      <c r="C48" s="131"/>
      <c r="D48" s="131"/>
      <c r="E48" s="131"/>
      <c r="F48" s="131"/>
    </row>
    <row r="49" spans="1:6">
      <c r="A49" s="131"/>
      <c r="B49" s="131"/>
      <c r="C49" s="131"/>
      <c r="D49" s="131"/>
      <c r="E49" s="131"/>
      <c r="F49" s="131"/>
    </row>
    <row r="50" spans="1:6">
      <c r="A50" s="142"/>
      <c r="B50" s="142"/>
      <c r="C50" s="131"/>
      <c r="D50" s="142"/>
      <c r="E50" s="142"/>
      <c r="F50" s="142"/>
    </row>
    <row r="51" spans="1:6" s="109" customFormat="1" ht="17.100000000000001" customHeight="1">
      <c r="A51" s="131" t="s">
        <v>2948</v>
      </c>
      <c r="B51" s="146"/>
      <c r="C51" s="147"/>
      <c r="D51" s="147" t="s">
        <v>3</v>
      </c>
      <c r="E51" s="147"/>
      <c r="F51" s="147"/>
    </row>
    <row r="52" spans="1:6">
      <c r="A52" s="131"/>
      <c r="B52" s="131"/>
      <c r="C52" s="131"/>
      <c r="D52" s="131" t="s">
        <v>2</v>
      </c>
      <c r="E52" s="131"/>
      <c r="F52" s="131"/>
    </row>
    <row r="53" spans="1:6">
      <c r="A53" s="131"/>
      <c r="B53" s="131"/>
      <c r="C53" s="131"/>
      <c r="D53" s="131"/>
      <c r="E53" s="131"/>
      <c r="F53" s="131"/>
    </row>
    <row r="54" spans="1:6">
      <c r="A54" s="131"/>
      <c r="B54" s="131"/>
      <c r="C54" s="131"/>
      <c r="D54" s="110" t="s">
        <v>1</v>
      </c>
      <c r="E54" s="131"/>
      <c r="F54" s="131"/>
    </row>
    <row r="55" spans="1:6">
      <c r="A55" s="131"/>
      <c r="B55" s="131"/>
      <c r="C55" s="131"/>
      <c r="D55" s="110" t="s">
        <v>0</v>
      </c>
      <c r="E55" s="131"/>
      <c r="F55" s="131"/>
    </row>
    <row r="56" spans="1:6">
      <c r="A56" s="131"/>
      <c r="B56" s="131"/>
      <c r="C56" s="131"/>
      <c r="D56" s="131"/>
      <c r="E56" s="131"/>
      <c r="F56" s="131"/>
    </row>
    <row r="57" spans="1:6">
      <c r="A57" s="131"/>
      <c r="B57" s="131"/>
      <c r="C57" s="131"/>
      <c r="D57" s="131"/>
      <c r="E57" s="131"/>
      <c r="F57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F6984-9FB3-4DEE-A1B5-00C0CF423706}">
  <sheetPr codeName="Sheet521"/>
  <dimension ref="A1:I59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2.5703125" style="227" customWidth="1"/>
    <col min="3" max="3" width="1.42578125" style="227" customWidth="1"/>
    <col min="4" max="4" width="19.85546875" style="227" customWidth="1"/>
    <col min="5" max="5" width="0.85546875" style="227" customWidth="1"/>
    <col min="6" max="6" width="16.42578125" style="227" customWidth="1"/>
    <col min="7" max="7" width="11.42578125" style="227" customWidth="1"/>
    <col min="8" max="8" width="13.28515625" style="227" customWidth="1"/>
    <col min="9" max="9" width="16.140625" style="209" customWidth="1"/>
    <col min="10" max="11" width="9.140625" style="209"/>
    <col min="12" max="12" width="9.7109375" style="209" bestFit="1" customWidth="1"/>
    <col min="13" max="16384" width="9.140625" style="209"/>
  </cols>
  <sheetData>
    <row r="1" spans="1:9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9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9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9" ht="12.75" customHeight="1">
      <c r="A4" s="532" t="s">
        <v>1684</v>
      </c>
      <c r="B4" s="532"/>
      <c r="C4" s="532"/>
      <c r="D4" s="532"/>
      <c r="E4" s="532"/>
      <c r="F4" s="532"/>
      <c r="G4" s="532"/>
      <c r="H4" s="532"/>
    </row>
    <row r="5" spans="1:9" ht="12.75" hidden="1" customHeight="1">
      <c r="A5" s="131"/>
      <c r="B5" s="131"/>
      <c r="C5" s="131"/>
      <c r="D5" s="131"/>
      <c r="E5" s="131"/>
      <c r="F5" s="131"/>
      <c r="G5" s="131"/>
      <c r="H5" s="131"/>
    </row>
    <row r="6" spans="1:9" ht="12.75" hidden="1" customHeight="1">
      <c r="A6" s="131"/>
      <c r="B6" s="131"/>
      <c r="C6" s="131"/>
      <c r="D6" s="131"/>
      <c r="E6" s="131"/>
      <c r="F6" s="131"/>
      <c r="G6" s="131"/>
      <c r="H6" s="131"/>
    </row>
    <row r="7" spans="1:9" ht="12.75" customHeight="1">
      <c r="A7" s="131"/>
      <c r="B7" s="131"/>
      <c r="C7" s="131"/>
      <c r="D7" s="131"/>
      <c r="E7" s="131"/>
      <c r="F7" s="131"/>
      <c r="G7" s="131"/>
      <c r="H7" s="131"/>
    </row>
    <row r="8" spans="1:9" s="211" customFormat="1" ht="12.75" customHeight="1">
      <c r="A8" s="147" t="s">
        <v>24</v>
      </c>
      <c r="B8" s="147"/>
      <c r="C8" s="147"/>
      <c r="D8" s="147"/>
      <c r="E8" s="147"/>
      <c r="F8" s="210" t="s">
        <v>23</v>
      </c>
      <c r="G8" s="147"/>
      <c r="H8" s="147"/>
    </row>
    <row r="9" spans="1:9" s="211" customFormat="1" ht="12.75" customHeight="1">
      <c r="A9" s="147" t="s">
        <v>5324</v>
      </c>
      <c r="B9" s="147"/>
      <c r="C9" s="147"/>
      <c r="D9" s="147"/>
      <c r="E9" s="147"/>
      <c r="F9" s="212" t="s">
        <v>1723</v>
      </c>
      <c r="G9" s="489" t="s">
        <v>6935</v>
      </c>
      <c r="H9" s="131"/>
    </row>
    <row r="10" spans="1:9" s="211" customFormat="1" ht="12.75" customHeight="1">
      <c r="A10" s="147" t="s">
        <v>5325</v>
      </c>
      <c r="B10" s="147"/>
      <c r="C10" s="147"/>
      <c r="D10" s="147"/>
      <c r="E10" s="147"/>
      <c r="F10" s="212" t="s">
        <v>1340</v>
      </c>
      <c r="G10" s="132" t="s">
        <v>6930</v>
      </c>
      <c r="H10" s="131"/>
    </row>
    <row r="11" spans="1:9" s="211" customFormat="1" ht="12.75" customHeight="1">
      <c r="A11" s="147" t="s">
        <v>5326</v>
      </c>
      <c r="B11" s="147"/>
      <c r="C11" s="147"/>
      <c r="D11" s="147"/>
      <c r="E11" s="147"/>
      <c r="F11" s="212" t="s">
        <v>1341</v>
      </c>
      <c r="G11" s="132" t="s">
        <v>1094</v>
      </c>
      <c r="H11" s="131"/>
    </row>
    <row r="12" spans="1:9" s="211" customFormat="1" ht="12.75" customHeight="1">
      <c r="A12" s="147" t="s">
        <v>5327</v>
      </c>
      <c r="B12" s="147"/>
      <c r="C12" s="147"/>
      <c r="D12" s="147"/>
      <c r="E12" s="147"/>
      <c r="F12" s="212" t="s">
        <v>2136</v>
      </c>
      <c r="G12" s="111" t="s">
        <v>6936</v>
      </c>
      <c r="H12" s="131"/>
    </row>
    <row r="13" spans="1:9" s="211" customFormat="1" ht="12.75" customHeight="1">
      <c r="A13" s="147"/>
      <c r="B13" s="147"/>
      <c r="C13" s="147"/>
      <c r="D13" s="147"/>
      <c r="E13" s="147"/>
      <c r="F13" s="147"/>
      <c r="G13" s="111" t="s">
        <v>6182</v>
      </c>
      <c r="H13" s="147"/>
    </row>
    <row r="14" spans="1:9" s="211" customFormat="1" ht="12.75" customHeight="1">
      <c r="A14" s="147"/>
      <c r="B14" s="147"/>
      <c r="C14" s="147"/>
      <c r="D14" s="147"/>
      <c r="E14" s="147"/>
      <c r="F14" s="147"/>
      <c r="G14" s="147"/>
      <c r="H14" s="147"/>
    </row>
    <row r="15" spans="1:9" s="213" customFormat="1" ht="12.75" customHeight="1">
      <c r="A15" s="147"/>
      <c r="B15" s="147"/>
      <c r="C15" s="147"/>
      <c r="D15" s="147"/>
      <c r="E15" s="147"/>
      <c r="F15" s="147"/>
      <c r="G15" s="147"/>
      <c r="H15" s="147"/>
    </row>
    <row r="16" spans="1:9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I16" s="214"/>
    </row>
    <row r="17" spans="1:9" s="213" customFormat="1" ht="12.75" customHeight="1">
      <c r="A17" s="215"/>
      <c r="B17" s="216"/>
      <c r="C17" s="216"/>
      <c r="D17" s="217"/>
      <c r="E17" s="217"/>
      <c r="F17" s="216"/>
      <c r="G17" s="218"/>
      <c r="H17" s="219"/>
      <c r="I17" s="214"/>
    </row>
    <row r="18" spans="1:9" s="213" customFormat="1" ht="12.75" customHeight="1">
      <c r="A18" s="227"/>
      <c r="B18" s="227"/>
      <c r="C18" s="281"/>
      <c r="D18" s="319" t="s">
        <v>3176</v>
      </c>
      <c r="E18" s="145"/>
      <c r="F18" s="145"/>
      <c r="G18" s="145"/>
      <c r="H18" s="320"/>
      <c r="I18" s="318"/>
    </row>
    <row r="19" spans="1:9" s="213" customFormat="1" ht="12.75" customHeight="1">
      <c r="A19" s="222"/>
      <c r="B19" s="281"/>
      <c r="C19" s="281"/>
      <c r="D19" s="145"/>
      <c r="E19" s="145"/>
      <c r="F19" s="145"/>
      <c r="G19" s="145"/>
      <c r="H19" s="320"/>
      <c r="I19" s="318"/>
    </row>
    <row r="20" spans="1:9" s="213" customFormat="1" ht="12.75" customHeight="1">
      <c r="A20" s="222"/>
      <c r="B20" s="281"/>
      <c r="C20" s="281"/>
      <c r="D20" s="145" t="s">
        <v>6937</v>
      </c>
      <c r="E20" s="145"/>
      <c r="F20" s="145"/>
      <c r="G20" s="145"/>
      <c r="H20" s="320">
        <v>600</v>
      </c>
      <c r="I20" s="318"/>
    </row>
    <row r="21" spans="1:9" s="213" customFormat="1" ht="12.75" customHeight="1">
      <c r="A21" s="222"/>
      <c r="B21" s="281"/>
      <c r="C21" s="281"/>
      <c r="D21" s="145"/>
      <c r="E21" s="145"/>
      <c r="F21" s="145"/>
      <c r="G21" s="145"/>
      <c r="H21" s="320"/>
      <c r="I21" s="318"/>
    </row>
    <row r="22" spans="1:9" s="213" customFormat="1" ht="12.75" customHeight="1">
      <c r="A22" s="158"/>
      <c r="B22" s="281"/>
      <c r="C22" s="281"/>
      <c r="D22" s="145"/>
      <c r="E22" s="145"/>
      <c r="F22" s="145"/>
      <c r="G22" s="145"/>
      <c r="H22" s="320"/>
      <c r="I22" s="318"/>
    </row>
    <row r="23" spans="1:9" s="227" customFormat="1" ht="12.75" customHeight="1">
      <c r="A23" s="222"/>
      <c r="B23" s="281"/>
      <c r="C23" s="281"/>
      <c r="D23" s="145"/>
      <c r="E23" s="145"/>
      <c r="F23" s="145"/>
      <c r="G23" s="145"/>
      <c r="H23" s="320"/>
    </row>
    <row r="24" spans="1:9" s="227" customFormat="1" ht="12.75" customHeight="1">
      <c r="A24" s="222"/>
      <c r="B24" s="281"/>
      <c r="C24" s="281"/>
      <c r="D24" s="145"/>
      <c r="E24" s="145"/>
      <c r="F24" s="145"/>
      <c r="G24" s="145"/>
      <c r="H24" s="320"/>
    </row>
    <row r="25" spans="1:9" s="227" customFormat="1" ht="12.75" customHeight="1">
      <c r="A25" s="222"/>
      <c r="B25" s="281"/>
      <c r="C25" s="281"/>
      <c r="D25" s="145"/>
      <c r="E25" s="145"/>
      <c r="F25" s="145"/>
      <c r="G25" s="145"/>
      <c r="H25" s="320"/>
    </row>
    <row r="26" spans="1:9" s="227" customFormat="1" ht="12.75" customHeight="1">
      <c r="A26" s="222"/>
      <c r="B26" s="281"/>
      <c r="C26" s="281"/>
      <c r="D26" s="319"/>
      <c r="E26" s="145"/>
      <c r="F26" s="145"/>
      <c r="G26" s="145"/>
      <c r="H26" s="320"/>
    </row>
    <row r="27" spans="1:9" s="227" customFormat="1" ht="12.75" customHeight="1">
      <c r="A27" s="222"/>
      <c r="B27" s="281"/>
      <c r="C27" s="281"/>
      <c r="D27" s="145"/>
      <c r="E27" s="145"/>
      <c r="F27" s="145"/>
      <c r="G27" s="145"/>
      <c r="H27" s="320"/>
    </row>
    <row r="28" spans="1:9" s="227" customFormat="1" ht="12.75" customHeight="1">
      <c r="A28" s="158"/>
      <c r="B28" s="281"/>
      <c r="C28" s="281"/>
      <c r="D28" s="145"/>
      <c r="E28" s="145"/>
      <c r="F28" s="145"/>
      <c r="G28" s="145"/>
      <c r="H28" s="320"/>
    </row>
    <row r="29" spans="1:9" s="227" customFormat="1" ht="12.75" customHeight="1">
      <c r="A29" s="222"/>
      <c r="B29" s="281"/>
      <c r="C29" s="281"/>
      <c r="D29" s="145"/>
      <c r="E29" s="145"/>
      <c r="F29" s="145"/>
      <c r="G29" s="145"/>
      <c r="H29" s="320"/>
    </row>
    <row r="30" spans="1:9" s="227" customFormat="1" ht="12.75" customHeight="1">
      <c r="A30" s="222"/>
      <c r="B30" s="281"/>
      <c r="C30" s="281"/>
      <c r="D30" s="319"/>
      <c r="E30" s="145"/>
      <c r="F30" s="145"/>
      <c r="G30" s="145"/>
      <c r="H30" s="320"/>
    </row>
    <row r="31" spans="1:9" s="227" customFormat="1" ht="12.75" customHeight="1">
      <c r="A31" s="222"/>
      <c r="B31" s="281"/>
      <c r="C31" s="281"/>
      <c r="D31" s="145"/>
      <c r="E31" s="145"/>
      <c r="F31" s="145"/>
      <c r="G31" s="145"/>
      <c r="H31" s="320"/>
    </row>
    <row r="32" spans="1:9" s="227" customFormat="1" ht="12.75" customHeight="1">
      <c r="A32" s="222"/>
      <c r="B32" s="281"/>
      <c r="C32" s="281"/>
      <c r="D32" s="145"/>
      <c r="E32" s="145"/>
      <c r="F32" s="145"/>
      <c r="G32" s="145"/>
      <c r="H32" s="320"/>
    </row>
    <row r="33" spans="1:9" s="227" customFormat="1" ht="15.75" customHeight="1">
      <c r="A33" s="222"/>
      <c r="B33" s="281"/>
      <c r="C33" s="281"/>
      <c r="D33" s="145"/>
      <c r="E33" s="145"/>
      <c r="F33" s="145"/>
      <c r="G33" s="145"/>
      <c r="H33" s="320"/>
    </row>
    <row r="34" spans="1:9" s="227" customFormat="1" ht="12.75" customHeight="1">
      <c r="A34" s="222"/>
      <c r="B34" s="281"/>
      <c r="C34" s="281"/>
      <c r="D34" s="145"/>
      <c r="E34" s="145"/>
      <c r="F34" s="145"/>
      <c r="G34" s="145"/>
      <c r="H34" s="320"/>
    </row>
    <row r="35" spans="1:9" s="211" customFormat="1" ht="15.75" customHeight="1" thickBot="1">
      <c r="A35" s="229"/>
      <c r="B35" s="224"/>
      <c r="C35" s="224"/>
      <c r="D35" s="224"/>
      <c r="E35" s="224"/>
      <c r="F35" s="224"/>
      <c r="G35" s="224"/>
      <c r="H35" s="230">
        <f>SUM(H18:H34)</f>
        <v>600</v>
      </c>
      <c r="I35" s="221"/>
    </row>
    <row r="36" spans="1:9" s="211" customFormat="1" ht="12.75" customHeight="1" thickTop="1">
      <c r="A36" s="229"/>
      <c r="B36" s="224"/>
      <c r="C36" s="224"/>
      <c r="D36" s="224"/>
      <c r="E36" s="224"/>
      <c r="F36" s="224"/>
      <c r="G36" s="224"/>
      <c r="H36" s="224"/>
      <c r="I36" s="221"/>
    </row>
    <row r="37" spans="1:9" ht="20.100000000000001" customHeight="1">
      <c r="A37" s="138" t="s">
        <v>1133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 Hundred and NO/100 -----------</v>
      </c>
      <c r="C37" s="204"/>
      <c r="D37" s="231"/>
      <c r="E37" s="231"/>
      <c r="F37" s="231"/>
      <c r="G37" s="231"/>
      <c r="H37" s="231"/>
    </row>
    <row r="38" spans="1:9" ht="12.75" customHeight="1">
      <c r="A38" s="232"/>
    </row>
    <row r="39" spans="1:9" ht="27" customHeight="1">
      <c r="A39" s="131" t="s">
        <v>10</v>
      </c>
      <c r="B39" s="131"/>
      <c r="C39" s="131"/>
      <c r="D39" s="131"/>
      <c r="E39" s="131"/>
      <c r="F39" s="283" t="s">
        <v>2894</v>
      </c>
      <c r="G39" s="284"/>
      <c r="H39" s="285"/>
    </row>
    <row r="40" spans="1:9" ht="12.75" customHeight="1">
      <c r="A40" s="131"/>
      <c r="B40" s="131"/>
      <c r="C40" s="131"/>
      <c r="D40" s="131"/>
      <c r="E40" s="131"/>
      <c r="F40" s="131"/>
      <c r="G40" s="131"/>
      <c r="H40" s="131"/>
    </row>
    <row r="41" spans="1:9" ht="12.75" customHeight="1">
      <c r="A41" s="131"/>
      <c r="B41" s="131"/>
      <c r="C41" s="131"/>
      <c r="D41" s="131"/>
      <c r="E41" s="131"/>
      <c r="F41" s="131"/>
      <c r="G41" s="131"/>
      <c r="H41" s="131"/>
    </row>
    <row r="42" spans="1:9">
      <c r="A42" s="301"/>
      <c r="B42" s="131"/>
      <c r="C42" s="131"/>
      <c r="D42" s="131"/>
      <c r="E42" s="131"/>
      <c r="F42" s="291"/>
      <c r="G42" s="291"/>
      <c r="H42" s="291"/>
    </row>
    <row r="43" spans="1:9">
      <c r="A43" s="248"/>
      <c r="B43" s="142"/>
      <c r="C43" s="131"/>
      <c r="D43" s="131"/>
      <c r="E43" s="131"/>
      <c r="F43" s="286"/>
      <c r="G43" s="287"/>
      <c r="H43" s="287"/>
    </row>
    <row r="44" spans="1:9" ht="12.75" customHeight="1">
      <c r="A44" s="301"/>
      <c r="B44" s="301"/>
      <c r="C44" s="301"/>
      <c r="D44" s="131"/>
      <c r="E44" s="131"/>
      <c r="F44" s="131"/>
      <c r="G44" s="131"/>
      <c r="H44" s="144"/>
    </row>
    <row r="45" spans="1:9" ht="12.75" customHeight="1">
      <c r="A45" s="143" t="s">
        <v>8</v>
      </c>
      <c r="B45" s="131"/>
      <c r="C45" s="131"/>
      <c r="D45" s="143" t="s">
        <v>8</v>
      </c>
      <c r="E45" s="131"/>
      <c r="F45" s="131"/>
      <c r="G45" s="131"/>
      <c r="H45" s="131"/>
    </row>
    <row r="46" spans="1:9" ht="12.75" customHeight="1">
      <c r="A46" s="301"/>
      <c r="B46" s="131"/>
      <c r="C46" s="131"/>
      <c r="D46" s="301"/>
      <c r="E46" s="131"/>
      <c r="F46" s="143" t="s">
        <v>7</v>
      </c>
      <c r="G46" s="131"/>
      <c r="H46" s="131"/>
    </row>
    <row r="47" spans="1:9" ht="12.75" customHeight="1">
      <c r="A47" s="143"/>
      <c r="B47" s="131"/>
      <c r="C47" s="131"/>
      <c r="D47" s="143"/>
      <c r="E47" s="131"/>
      <c r="F47" s="131"/>
      <c r="G47" s="131"/>
      <c r="H47" s="131"/>
    </row>
    <row r="48" spans="1:9" ht="12.75" customHeight="1">
      <c r="A48" s="143"/>
      <c r="B48" s="131"/>
      <c r="C48" s="131"/>
      <c r="D48" s="143"/>
      <c r="E48" s="131"/>
      <c r="F48" s="131"/>
      <c r="G48" s="131"/>
      <c r="H48" s="131"/>
    </row>
    <row r="49" spans="1:8" s="211" customFormat="1" ht="12.75" customHeight="1">
      <c r="A49" s="143"/>
      <c r="B49" s="131"/>
      <c r="C49" s="131"/>
      <c r="D49" s="143"/>
      <c r="E49" s="131"/>
      <c r="F49" s="131"/>
      <c r="G49" s="147"/>
      <c r="H49" s="147"/>
    </row>
    <row r="50" spans="1:8" ht="12.75" customHeight="1">
      <c r="A50" s="248"/>
      <c r="B50" s="142"/>
      <c r="C50" s="131"/>
      <c r="D50" s="248"/>
      <c r="E50" s="131"/>
      <c r="F50" s="142"/>
      <c r="G50" s="142"/>
      <c r="H50" s="142"/>
    </row>
    <row r="51" spans="1:8" ht="15" customHeight="1">
      <c r="A51" s="143" t="s">
        <v>2948</v>
      </c>
      <c r="B51" s="146"/>
      <c r="C51" s="146"/>
      <c r="D51" s="143" t="s">
        <v>103</v>
      </c>
      <c r="E51" s="147"/>
      <c r="F51" s="147" t="s">
        <v>3</v>
      </c>
      <c r="G51" s="131"/>
      <c r="H51" s="131"/>
    </row>
    <row r="52" spans="1:8" ht="12.75" customHeight="1">
      <c r="A52" s="143"/>
      <c r="B52" s="131"/>
      <c r="C52" s="131"/>
      <c r="D52" s="131"/>
      <c r="E52" s="131"/>
      <c r="F52" s="131" t="s">
        <v>2</v>
      </c>
      <c r="G52" s="131"/>
      <c r="H52" s="131"/>
    </row>
    <row r="53" spans="1:8" ht="12.75" customHeight="1">
      <c r="A53" s="131"/>
      <c r="B53" s="131"/>
      <c r="C53" s="131"/>
      <c r="D53" s="131"/>
      <c r="E53" s="131"/>
      <c r="F53" s="131"/>
      <c r="G53" s="131"/>
      <c r="H53" s="131"/>
    </row>
    <row r="54" spans="1:8" ht="12.75" customHeight="1">
      <c r="A54" s="131"/>
      <c r="B54" s="131"/>
      <c r="C54" s="131"/>
      <c r="D54" s="131"/>
      <c r="E54" s="131"/>
      <c r="F54" s="110" t="s">
        <v>1</v>
      </c>
      <c r="G54" s="131"/>
      <c r="H54" s="131"/>
    </row>
    <row r="55" spans="1:8" ht="12.75" customHeight="1">
      <c r="A55" s="131"/>
      <c r="B55" s="131"/>
      <c r="C55" s="131"/>
      <c r="D55" s="131"/>
      <c r="E55" s="131"/>
      <c r="F55" s="110" t="s">
        <v>0</v>
      </c>
      <c r="G55" s="131"/>
      <c r="H55" s="131"/>
    </row>
    <row r="56" spans="1:8" ht="12.75" customHeight="1">
      <c r="A56" s="131"/>
      <c r="B56" s="131"/>
      <c r="C56" s="131"/>
      <c r="D56" s="131"/>
      <c r="E56" s="131"/>
      <c r="F56" s="131"/>
      <c r="G56" s="131"/>
      <c r="H56" s="131"/>
    </row>
    <row r="57" spans="1:8" ht="12.75" customHeight="1">
      <c r="A57" s="131"/>
      <c r="B57" s="131"/>
      <c r="C57" s="131"/>
      <c r="D57" s="131"/>
      <c r="E57" s="131"/>
      <c r="F57" s="131"/>
      <c r="G57" s="131"/>
      <c r="H57" s="131"/>
    </row>
    <row r="58" spans="1:8">
      <c r="A58" s="131"/>
      <c r="B58" s="131"/>
      <c r="C58" s="131"/>
      <c r="D58" s="131"/>
      <c r="E58" s="131"/>
      <c r="F58" s="131"/>
      <c r="G58" s="131"/>
      <c r="H58" s="131"/>
    </row>
    <row r="59" spans="1:8">
      <c r="A59" s="131"/>
      <c r="B59" s="131"/>
      <c r="C59" s="131"/>
      <c r="D59" s="131"/>
      <c r="E59" s="131"/>
      <c r="F59" s="131"/>
      <c r="G59" s="131"/>
      <c r="H59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90" orientation="portrait" r:id="rId1"/>
  <headerFooter alignWithMargins="0">
    <oddFooter>Page &amp;P of &amp;N</oddFooter>
  </headerFooter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8B32B-837C-46C5-9663-DFA704A475CD}">
  <sheetPr codeName="Sheet522">
    <pageSetUpPr fitToPage="1"/>
  </sheetPr>
  <dimension ref="A1:O64"/>
  <sheetViews>
    <sheetView topLeftCell="A7" zoomScaleNormal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4" width="9.140625" style="1"/>
    <col min="15" max="15" width="10.5703125" style="1" bestFit="1" customWidth="1"/>
    <col min="16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5">
      <c r="A9" s="111"/>
      <c r="B9" s="111"/>
      <c r="C9" s="111"/>
      <c r="D9" s="111"/>
      <c r="E9" s="111"/>
      <c r="F9" s="112" t="s">
        <v>22</v>
      </c>
      <c r="G9" s="131" t="s">
        <v>5364</v>
      </c>
      <c r="H9" s="111"/>
    </row>
    <row r="10" spans="1:15">
      <c r="A10" s="111" t="s">
        <v>5365</v>
      </c>
      <c r="B10" s="111"/>
      <c r="C10" s="111"/>
      <c r="D10" s="111"/>
      <c r="E10" s="111"/>
      <c r="F10" s="112" t="s">
        <v>21</v>
      </c>
      <c r="G10" s="131" t="s">
        <v>5290</v>
      </c>
      <c r="H10" s="111"/>
      <c r="J10" s="21"/>
      <c r="K10" s="111"/>
      <c r="L10" s="111"/>
      <c r="M10" s="111"/>
    </row>
    <row r="11" spans="1:15">
      <c r="A11" s="111" t="s">
        <v>5366</v>
      </c>
      <c r="B11" s="111"/>
      <c r="C11" s="111"/>
      <c r="D11" s="111"/>
      <c r="E11" s="111"/>
      <c r="F11" s="112" t="s">
        <v>19</v>
      </c>
      <c r="G11" s="131" t="s">
        <v>1094</v>
      </c>
      <c r="H11" s="111"/>
      <c r="J11" s="336"/>
      <c r="K11" s="111"/>
    </row>
    <row r="12" spans="1:15">
      <c r="A12" s="111" t="s">
        <v>5367</v>
      </c>
      <c r="B12" s="111"/>
      <c r="C12" s="111"/>
      <c r="D12" s="111"/>
      <c r="E12" s="111"/>
      <c r="F12" s="112" t="s">
        <v>17</v>
      </c>
      <c r="G12" s="131" t="s">
        <v>1270</v>
      </c>
      <c r="H12" s="111"/>
      <c r="K12" s="111"/>
    </row>
    <row r="13" spans="1:15">
      <c r="A13" s="111"/>
      <c r="B13" s="111"/>
      <c r="C13" s="111"/>
      <c r="D13" s="111"/>
      <c r="E13" s="111"/>
      <c r="F13" s="111"/>
      <c r="G13" s="131"/>
      <c r="H13" s="111"/>
      <c r="K13" s="111" t="s">
        <v>1697</v>
      </c>
    </row>
    <row r="14" spans="1:15">
      <c r="A14" s="111"/>
      <c r="B14" s="111"/>
      <c r="C14" s="111"/>
      <c r="D14" s="111"/>
      <c r="E14" s="111"/>
      <c r="F14" s="111"/>
      <c r="G14" s="131"/>
      <c r="H14" s="111"/>
    </row>
    <row r="15" spans="1:15">
      <c r="A15" s="111"/>
      <c r="B15" s="111"/>
      <c r="C15" s="111"/>
      <c r="D15" s="111"/>
      <c r="E15" s="111"/>
      <c r="F15" s="111"/>
      <c r="G15" s="111"/>
      <c r="H15" s="111"/>
      <c r="K15" s="111" t="s">
        <v>5347</v>
      </c>
      <c r="L15" s="111"/>
      <c r="M15" s="111"/>
      <c r="N15" s="111"/>
      <c r="O15" s="111">
        <f>4050*2.9926996</f>
        <v>12120.43338</v>
      </c>
    </row>
    <row r="16" spans="1:15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K16" s="111"/>
      <c r="L16" s="1"/>
      <c r="M16" s="1"/>
      <c r="N16" s="1"/>
      <c r="O16" s="111"/>
    </row>
    <row r="17" spans="1:15">
      <c r="A17" s="111"/>
      <c r="B17" s="111"/>
      <c r="C17" s="111"/>
      <c r="D17" s="111"/>
      <c r="E17" s="111"/>
      <c r="F17" s="111"/>
      <c r="G17" s="111"/>
      <c r="H17" s="111"/>
      <c r="K17" s="111" t="s">
        <v>5348</v>
      </c>
      <c r="O17" s="111"/>
    </row>
    <row r="18" spans="1:15">
      <c r="A18" s="111"/>
      <c r="B18" s="111"/>
      <c r="C18" s="111"/>
      <c r="D18" s="2" t="s">
        <v>5368</v>
      </c>
      <c r="E18" s="2"/>
      <c r="F18" s="111"/>
      <c r="G18" s="111"/>
      <c r="H18" s="111"/>
    </row>
    <row r="19" spans="1:15">
      <c r="A19" s="111"/>
      <c r="B19" s="111"/>
      <c r="C19" s="111"/>
      <c r="D19" s="2"/>
      <c r="E19" s="2"/>
      <c r="F19" s="111"/>
      <c r="G19" s="111"/>
      <c r="H19" s="111"/>
      <c r="K19" s="111" t="s">
        <v>5349</v>
      </c>
      <c r="L19" s="111"/>
      <c r="M19" s="111"/>
      <c r="N19" s="111"/>
      <c r="O19" s="111">
        <f>9300*2.9926996</f>
        <v>27832.10628</v>
      </c>
    </row>
    <row r="20" spans="1:15">
      <c r="A20" s="116" t="s">
        <v>5369</v>
      </c>
      <c r="B20" s="116" t="s">
        <v>5370</v>
      </c>
      <c r="C20" s="116"/>
      <c r="D20" s="111" t="s">
        <v>5371</v>
      </c>
      <c r="E20" s="111"/>
      <c r="F20" s="111"/>
      <c r="G20" s="111"/>
      <c r="H20" s="111">
        <f>103100000*0.000307</f>
        <v>31651.699999999997</v>
      </c>
      <c r="K20" s="111"/>
      <c r="L20" s="111"/>
      <c r="M20" s="111"/>
      <c r="N20" s="111"/>
      <c r="O20" s="111"/>
    </row>
    <row r="21" spans="1:15">
      <c r="A21" s="111"/>
      <c r="B21" s="120"/>
      <c r="C21" s="120"/>
      <c r="D21" s="111" t="s">
        <v>5373</v>
      </c>
      <c r="H21" s="111">
        <f>10310000*0.000307</f>
        <v>3165.1699999999996</v>
      </c>
      <c r="K21" s="111" t="s">
        <v>5350</v>
      </c>
      <c r="L21" s="111"/>
      <c r="O21" s="111"/>
    </row>
    <row r="22" spans="1:15">
      <c r="A22" s="116"/>
      <c r="B22" s="116"/>
      <c r="C22" s="116"/>
      <c r="D22" s="111" t="s">
        <v>5374</v>
      </c>
      <c r="H22" s="111">
        <f>3500000*0.000307</f>
        <v>1074.5</v>
      </c>
    </row>
    <row r="23" spans="1:15">
      <c r="A23" s="116"/>
      <c r="B23" s="116"/>
      <c r="C23" s="120"/>
      <c r="D23" s="111" t="s">
        <v>5372</v>
      </c>
      <c r="H23" s="111"/>
      <c r="K23" s="111" t="s">
        <v>2831</v>
      </c>
      <c r="O23" s="111">
        <v>10</v>
      </c>
    </row>
    <row r="24" spans="1:15">
      <c r="A24" s="116"/>
      <c r="B24" s="116"/>
      <c r="C24" s="116"/>
      <c r="E24" s="111"/>
      <c r="F24" s="111"/>
      <c r="G24" s="111"/>
      <c r="H24" s="111"/>
      <c r="K24" s="111"/>
      <c r="L24" s="111"/>
    </row>
    <row r="25" spans="1:15">
      <c r="A25" s="111"/>
      <c r="B25" s="111"/>
      <c r="C25" s="111"/>
      <c r="D25" s="111" t="s">
        <v>1697</v>
      </c>
      <c r="E25" s="111"/>
      <c r="F25" s="111"/>
      <c r="G25" s="111"/>
      <c r="H25" s="111">
        <v>20</v>
      </c>
      <c r="K25" s="111" t="s">
        <v>5351</v>
      </c>
      <c r="L25" s="111"/>
      <c r="M25" s="111"/>
      <c r="N25" s="111"/>
      <c r="O25" s="111">
        <f>9300*3.0413</f>
        <v>28284.09</v>
      </c>
    </row>
    <row r="26" spans="1:15">
      <c r="A26" s="111"/>
      <c r="B26" s="120"/>
      <c r="C26" s="120"/>
      <c r="D26" s="111"/>
      <c r="E26" s="111"/>
      <c r="H26" s="111"/>
      <c r="K26" s="111" t="s">
        <v>5352</v>
      </c>
      <c r="O26" s="111"/>
    </row>
    <row r="27" spans="1:15">
      <c r="A27" s="111"/>
      <c r="B27" s="111"/>
      <c r="C27" s="111"/>
      <c r="K27" s="111"/>
      <c r="O27" s="111"/>
    </row>
    <row r="28" spans="1:15">
      <c r="A28" s="111"/>
      <c r="B28" s="111"/>
      <c r="C28" s="111"/>
      <c r="D28" s="111"/>
      <c r="H28" s="111"/>
      <c r="K28" s="111" t="s">
        <v>5353</v>
      </c>
      <c r="O28" s="111">
        <f>4050*3.0413</f>
        <v>12317.265000000001</v>
      </c>
    </row>
    <row r="29" spans="1:15">
      <c r="A29" s="111"/>
      <c r="B29" s="111"/>
      <c r="C29" s="111"/>
      <c r="D29" s="111"/>
      <c r="E29" s="111"/>
      <c r="K29" s="111" t="s">
        <v>5354</v>
      </c>
      <c r="L29" s="111"/>
      <c r="M29" s="111"/>
      <c r="N29" s="111"/>
      <c r="O29" s="111"/>
    </row>
    <row r="30" spans="1:15">
      <c r="A30" s="111"/>
      <c r="B30" s="120"/>
      <c r="C30" s="120"/>
      <c r="K30" s="111"/>
      <c r="L30" s="111"/>
      <c r="M30" s="111"/>
      <c r="N30" s="111"/>
      <c r="O30" s="111"/>
    </row>
    <row r="31" spans="1:15">
      <c r="A31" s="111"/>
      <c r="B31" s="111"/>
      <c r="C31" s="111"/>
    </row>
    <row r="32" spans="1:15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11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SUM(H18:H33)</f>
        <v>35911.369999999995</v>
      </c>
    </row>
    <row r="36" spans="1:8" ht="13.5" thickTop="1">
      <c r="A36" s="111"/>
      <c r="B36" s="111"/>
      <c r="C36" s="111"/>
      <c r="D36" s="111"/>
      <c r="E36" s="111"/>
    </row>
    <row r="37" spans="1: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Thirty-Five Thousand Nine Hundred Eleven and 37/100 -----------</v>
      </c>
      <c r="C37" s="204"/>
      <c r="D37" s="119"/>
      <c r="E37" s="119"/>
      <c r="F37" s="119"/>
      <c r="G37" s="119"/>
      <c r="H37" s="119"/>
    </row>
    <row r="38" spans="1:8" ht="20.100000000000001" customHeight="1">
      <c r="A38" s="160"/>
      <c r="B38" s="145"/>
      <c r="C38" s="145"/>
      <c r="D38" s="126"/>
      <c r="E38" s="126"/>
      <c r="F38" s="126"/>
      <c r="G38" s="126"/>
      <c r="H38" s="126"/>
    </row>
    <row r="39" spans="1:8" ht="25.5">
      <c r="A39" s="120" t="s">
        <v>3060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310"/>
      <c r="G40" s="311"/>
      <c r="H40" s="311"/>
    </row>
    <row r="41" spans="1:8"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A5FC2-A5A0-4710-A33B-0F3E725555D4}">
  <sheetPr codeName="Sheet541">
    <pageSetUpPr fitToPage="1"/>
  </sheetPr>
  <dimension ref="A1:I52"/>
  <sheetViews>
    <sheetView workbookViewId="0">
      <selection activeCell="G9" sqref="G9:G13"/>
    </sheetView>
  </sheetViews>
  <sheetFormatPr defaultRowHeight="12.75"/>
  <cols>
    <col min="1" max="1" width="15.7109375" style="111" customWidth="1"/>
    <col min="2" max="2" width="13.85546875" style="111" customWidth="1"/>
    <col min="3" max="3" width="23" style="111" customWidth="1"/>
    <col min="4" max="4" width="12.7109375" style="111" customWidth="1"/>
    <col min="5" max="5" width="10.85546875" style="111" customWidth="1"/>
    <col min="6" max="6" width="12.855468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5525</v>
      </c>
    </row>
    <row r="10" spans="1:6">
      <c r="A10" s="111" t="s">
        <v>5527</v>
      </c>
      <c r="D10" s="112" t="s">
        <v>1162</v>
      </c>
      <c r="E10" s="123" t="s">
        <v>5512</v>
      </c>
    </row>
    <row r="11" spans="1:6">
      <c r="A11" s="111" t="s">
        <v>5528</v>
      </c>
      <c r="D11" s="112" t="s">
        <v>1163</v>
      </c>
      <c r="E11" s="112" t="s">
        <v>1094</v>
      </c>
    </row>
    <row r="12" spans="1:6">
      <c r="A12" s="410" t="s">
        <v>5529</v>
      </c>
      <c r="D12" s="112" t="s">
        <v>1169</v>
      </c>
      <c r="E12" s="120" t="s">
        <v>5526</v>
      </c>
    </row>
    <row r="13" spans="1:6">
      <c r="A13" s="111" t="s">
        <v>3821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9">
      <c r="A17" s="153"/>
    </row>
    <row r="18" spans="1:9">
      <c r="C18" s="2" t="s">
        <v>3124</v>
      </c>
    </row>
    <row r="20" spans="1:9">
      <c r="A20" s="116" t="s">
        <v>5530</v>
      </c>
      <c r="B20" s="116"/>
      <c r="C20" s="111" t="s">
        <v>5532</v>
      </c>
      <c r="F20" s="111">
        <v>300</v>
      </c>
      <c r="I20" s="317"/>
    </row>
    <row r="21" spans="1:9">
      <c r="A21" s="116"/>
      <c r="B21" s="116"/>
      <c r="C21" s="111" t="s">
        <v>5533</v>
      </c>
      <c r="F21" s="111">
        <v>120</v>
      </c>
    </row>
    <row r="22" spans="1:9">
      <c r="A22" s="116"/>
      <c r="B22" s="121"/>
    </row>
    <row r="23" spans="1:9">
      <c r="A23" s="174" t="s">
        <v>5530</v>
      </c>
      <c r="C23" s="111" t="s">
        <v>5531</v>
      </c>
      <c r="F23" s="111">
        <v>80</v>
      </c>
    </row>
    <row r="24" spans="1:9">
      <c r="A24" s="116"/>
      <c r="B24" s="121"/>
    </row>
    <row r="25" spans="1:9">
      <c r="A25" s="174" t="s">
        <v>5530</v>
      </c>
      <c r="C25" s="111" t="s">
        <v>5534</v>
      </c>
      <c r="F25" s="111">
        <v>150</v>
      </c>
    </row>
    <row r="26" spans="1:9">
      <c r="A26" s="116"/>
      <c r="B26" s="121"/>
    </row>
    <row r="27" spans="1:9">
      <c r="A27" s="116"/>
      <c r="B27" s="116"/>
    </row>
    <row r="28" spans="1:9">
      <c r="A28" s="153"/>
    </row>
    <row r="29" spans="1:9">
      <c r="A29" s="153"/>
    </row>
    <row r="30" spans="1:9">
      <c r="A30" s="153"/>
    </row>
    <row r="31" spans="1:9">
      <c r="A31" s="153"/>
    </row>
    <row r="32" spans="1:9">
      <c r="A32" s="153"/>
    </row>
    <row r="33" spans="1:6" ht="13.5" thickBot="1">
      <c r="A33" s="153"/>
      <c r="F33" s="117">
        <f>SUM(F18:F32)</f>
        <v>650</v>
      </c>
    </row>
    <row r="34" spans="1:6" ht="13.5" thickTop="1">
      <c r="A34" s="153"/>
    </row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Six Hundred Fifty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27ECA-3074-4C5C-B8AD-B81B970E1676}">
  <sheetPr codeName="Sheet523">
    <pageSetUpPr fitToPage="1"/>
  </sheetPr>
  <dimension ref="A1:H57"/>
  <sheetViews>
    <sheetView workbookViewId="0">
      <selection activeCell="G9" sqref="G9:G13"/>
    </sheetView>
  </sheetViews>
  <sheetFormatPr defaultRowHeight="12.75"/>
  <cols>
    <col min="1" max="1" width="14.28515625" style="86" customWidth="1"/>
    <col min="2" max="2" width="20.140625" style="86" customWidth="1"/>
    <col min="3" max="3" width="0.85546875" style="86" customWidth="1"/>
    <col min="4" max="4" width="23" style="86" customWidth="1"/>
    <col min="5" max="5" width="0.7109375" style="86" customWidth="1"/>
    <col min="6" max="6" width="16.42578125" style="86" customWidth="1"/>
    <col min="7" max="7" width="9" style="86" customWidth="1"/>
    <col min="8" max="8" width="12.85546875" style="86" customWidth="1"/>
    <col min="9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1481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B8" s="131"/>
      <c r="C8" s="131"/>
      <c r="D8" s="131"/>
      <c r="E8" s="131"/>
      <c r="F8" s="87" t="s">
        <v>23</v>
      </c>
      <c r="G8" s="131"/>
      <c r="H8" s="131"/>
    </row>
    <row r="9" spans="1:8">
      <c r="A9" s="131"/>
      <c r="B9" s="131"/>
      <c r="C9" s="131"/>
      <c r="D9" s="131"/>
      <c r="E9" s="131"/>
      <c r="F9" s="132" t="s">
        <v>1127</v>
      </c>
      <c r="G9" s="132" t="s">
        <v>6179</v>
      </c>
      <c r="H9" s="111"/>
    </row>
    <row r="10" spans="1:8">
      <c r="A10" s="131" t="s">
        <v>5376</v>
      </c>
      <c r="B10" s="131"/>
      <c r="C10" s="131"/>
      <c r="D10" s="131"/>
      <c r="E10" s="131"/>
      <c r="F10" s="132" t="s">
        <v>1162</v>
      </c>
      <c r="G10" s="132" t="s">
        <v>6178</v>
      </c>
      <c r="H10" s="111"/>
    </row>
    <row r="11" spans="1:8">
      <c r="A11" s="131" t="s">
        <v>5377</v>
      </c>
      <c r="B11" s="131"/>
      <c r="C11" s="131"/>
      <c r="D11" s="131"/>
      <c r="E11" s="131"/>
      <c r="F11" s="132" t="s">
        <v>1163</v>
      </c>
      <c r="G11" s="132" t="s">
        <v>1094</v>
      </c>
      <c r="H11" s="111"/>
    </row>
    <row r="12" spans="1:8">
      <c r="A12" s="131" t="s">
        <v>5326</v>
      </c>
      <c r="B12" s="131"/>
      <c r="C12" s="131"/>
      <c r="D12" s="131"/>
      <c r="E12" s="131"/>
      <c r="F12" s="132" t="s">
        <v>1135</v>
      </c>
      <c r="G12" s="111" t="s">
        <v>6180</v>
      </c>
      <c r="H12" s="111"/>
    </row>
    <row r="13" spans="1:8">
      <c r="A13" s="131" t="s">
        <v>1354</v>
      </c>
      <c r="B13" s="131"/>
      <c r="C13" s="131"/>
      <c r="D13" s="131"/>
      <c r="E13" s="131"/>
      <c r="F13" s="131"/>
      <c r="G13" s="111" t="s">
        <v>6182</v>
      </c>
      <c r="H13" s="131"/>
    </row>
    <row r="14" spans="1:8">
      <c r="A14" s="131"/>
      <c r="B14" s="131"/>
      <c r="C14" s="131"/>
      <c r="D14" s="131"/>
      <c r="E14" s="131"/>
      <c r="F14" s="131"/>
      <c r="G14" s="131"/>
      <c r="H14" s="131"/>
    </row>
    <row r="15" spans="1:8">
      <c r="A15" s="131"/>
      <c r="B15" s="131"/>
      <c r="C15" s="131"/>
      <c r="D15" s="131"/>
      <c r="E15" s="131"/>
      <c r="F15" s="131"/>
      <c r="G15" s="131"/>
      <c r="H15" s="131"/>
    </row>
    <row r="16" spans="1:8" s="95" customFormat="1" ht="20.100000000000001" customHeight="1">
      <c r="A16" s="90" t="s">
        <v>1122</v>
      </c>
      <c r="B16" s="90" t="s">
        <v>1132</v>
      </c>
      <c r="C16" s="90"/>
      <c r="D16" s="92" t="s">
        <v>14</v>
      </c>
      <c r="E16" s="92"/>
      <c r="F16" s="90"/>
      <c r="G16" s="93"/>
      <c r="H16" s="94" t="s">
        <v>13</v>
      </c>
    </row>
    <row r="17" spans="1:8">
      <c r="A17" s="131"/>
      <c r="B17" s="131"/>
      <c r="C17" s="131"/>
      <c r="D17" s="131"/>
      <c r="E17" s="131"/>
      <c r="F17" s="131"/>
      <c r="G17" s="131"/>
      <c r="H17" s="131"/>
    </row>
    <row r="18" spans="1:8">
      <c r="A18" s="131"/>
      <c r="B18" s="131"/>
      <c r="C18" s="131"/>
      <c r="D18" s="110" t="s">
        <v>3176</v>
      </c>
      <c r="E18" s="110"/>
      <c r="F18" s="131"/>
      <c r="G18" s="131"/>
      <c r="H18" s="131"/>
    </row>
    <row r="19" spans="1:8">
      <c r="A19" s="131"/>
      <c r="B19" s="131"/>
      <c r="C19" s="131"/>
      <c r="D19" s="131"/>
      <c r="E19" s="131"/>
      <c r="F19" s="131"/>
      <c r="G19" s="131"/>
      <c r="H19" s="131"/>
    </row>
    <row r="20" spans="1:8">
      <c r="A20" s="158" t="s">
        <v>6177</v>
      </c>
      <c r="B20" s="424" t="s">
        <v>6183</v>
      </c>
      <c r="C20" s="424"/>
      <c r="D20" s="131" t="s">
        <v>6184</v>
      </c>
      <c r="E20" s="131"/>
      <c r="F20" s="131"/>
      <c r="G20" s="131"/>
      <c r="H20" s="131">
        <v>300</v>
      </c>
    </row>
    <row r="21" spans="1:8">
      <c r="A21" s="158"/>
      <c r="B21" s="158"/>
      <c r="C21" s="158"/>
      <c r="D21" s="131"/>
      <c r="E21" s="131"/>
      <c r="F21" s="131"/>
      <c r="G21" s="131"/>
      <c r="H21" s="131"/>
    </row>
    <row r="22" spans="1:8">
      <c r="A22" s="158"/>
      <c r="B22" s="158"/>
      <c r="C22" s="158"/>
      <c r="D22" s="131"/>
      <c r="E22" s="131"/>
      <c r="F22" s="131"/>
      <c r="G22" s="131"/>
      <c r="H22" s="131"/>
    </row>
    <row r="23" spans="1:8">
      <c r="A23" s="131"/>
      <c r="B23" s="140"/>
      <c r="C23" s="140"/>
      <c r="D23" s="131"/>
      <c r="E23" s="131"/>
      <c r="F23" s="131"/>
      <c r="G23" s="131"/>
      <c r="H23" s="131"/>
    </row>
    <row r="24" spans="1:8">
      <c r="A24" s="158"/>
      <c r="B24" s="141"/>
      <c r="C24" s="141"/>
      <c r="D24" s="131"/>
      <c r="E24" s="131"/>
      <c r="F24" s="131"/>
      <c r="G24" s="131"/>
      <c r="H24" s="131"/>
    </row>
    <row r="25" spans="1:8">
      <c r="A25" s="158"/>
      <c r="B25" s="141"/>
      <c r="C25" s="141"/>
      <c r="D25" s="131"/>
      <c r="E25" s="131"/>
      <c r="F25" s="131"/>
      <c r="G25" s="131"/>
      <c r="H25" s="131"/>
    </row>
    <row r="26" spans="1:8">
      <c r="A26" s="158"/>
      <c r="B26" s="141"/>
      <c r="C26" s="141"/>
      <c r="D26" s="110"/>
      <c r="E26" s="110"/>
      <c r="F26" s="131"/>
      <c r="G26" s="131"/>
      <c r="H26" s="131"/>
    </row>
    <row r="27" spans="1:8">
      <c r="A27" s="158"/>
      <c r="B27" s="141"/>
      <c r="C27" s="141"/>
      <c r="D27" s="131"/>
      <c r="E27" s="131"/>
      <c r="F27" s="131"/>
      <c r="G27" s="131"/>
      <c r="H27" s="131"/>
    </row>
    <row r="28" spans="1:8">
      <c r="A28" s="158"/>
      <c r="B28" s="141"/>
      <c r="C28" s="141"/>
      <c r="D28" s="131"/>
      <c r="E28" s="131"/>
      <c r="F28" s="131"/>
      <c r="G28" s="131"/>
      <c r="H28" s="131"/>
    </row>
    <row r="29" spans="1:8">
      <c r="A29" s="158"/>
      <c r="B29" s="140"/>
      <c r="C29" s="140"/>
      <c r="D29" s="131"/>
      <c r="E29" s="131"/>
      <c r="F29" s="131"/>
      <c r="G29" s="131"/>
      <c r="H29" s="131"/>
    </row>
    <row r="30" spans="1:8">
      <c r="A30" s="244"/>
      <c r="B30" s="140"/>
      <c r="C30" s="140"/>
      <c r="D30" s="131"/>
      <c r="E30" s="131"/>
      <c r="F30" s="131"/>
      <c r="G30" s="131"/>
      <c r="H30" s="131"/>
    </row>
    <row r="31" spans="1:8">
      <c r="A31" s="244"/>
      <c r="B31" s="140"/>
      <c r="C31" s="140"/>
      <c r="D31" s="131"/>
      <c r="E31" s="131"/>
      <c r="F31" s="131"/>
      <c r="G31" s="131"/>
      <c r="H31" s="131"/>
    </row>
    <row r="32" spans="1:8">
      <c r="A32" s="246"/>
      <c r="B32" s="140"/>
      <c r="C32" s="140"/>
      <c r="D32" s="131"/>
      <c r="E32" s="131"/>
      <c r="F32" s="131"/>
      <c r="G32" s="131"/>
      <c r="H32" s="131"/>
    </row>
    <row r="33" spans="1:8">
      <c r="A33" s="162"/>
      <c r="B33" s="131"/>
      <c r="C33" s="131"/>
      <c r="D33" s="131"/>
      <c r="E33" s="131"/>
      <c r="F33" s="131"/>
      <c r="G33" s="131"/>
      <c r="H33" s="131"/>
    </row>
    <row r="34" spans="1:8">
      <c r="A34" s="131"/>
      <c r="B34" s="131"/>
      <c r="C34" s="131"/>
      <c r="D34" s="131"/>
      <c r="E34" s="131"/>
    </row>
    <row r="35" spans="1:8" ht="13.5" thickBot="1">
      <c r="A35" s="131"/>
      <c r="B35" s="131"/>
      <c r="C35" s="131"/>
      <c r="D35" s="131"/>
      <c r="E35" s="131"/>
      <c r="F35" s="131"/>
      <c r="G35" s="131"/>
      <c r="H35" s="137">
        <f>SUM(H20:H34)</f>
        <v>300</v>
      </c>
    </row>
    <row r="36" spans="1:8" ht="13.5" thickTop="1">
      <c r="A36" s="131"/>
      <c r="B36" s="131"/>
      <c r="C36" s="131"/>
      <c r="D36" s="131"/>
      <c r="E36" s="131"/>
      <c r="F36" s="131"/>
      <c r="G36" s="131"/>
      <c r="H36" s="131"/>
    </row>
    <row r="37" spans="1:8" ht="21.75" customHeight="1">
      <c r="A37" s="13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Hundred and NO/100 -----------</v>
      </c>
      <c r="C37" s="202"/>
      <c r="D37" s="139"/>
      <c r="E37" s="139"/>
      <c r="F37" s="423"/>
      <c r="G37" s="423"/>
      <c r="H37" s="423"/>
    </row>
    <row r="38" spans="1:8">
      <c r="A38" s="212"/>
      <c r="B38" s="151"/>
      <c r="C38" s="151"/>
      <c r="D38" s="147"/>
      <c r="E38" s="147"/>
      <c r="F38" s="309"/>
      <c r="G38" s="309"/>
      <c r="H38" s="309"/>
    </row>
    <row r="39" spans="1:8" ht="25.5">
      <c r="A39" s="147" t="s">
        <v>10</v>
      </c>
      <c r="B39" s="151"/>
      <c r="C39" s="151"/>
      <c r="D39" s="147"/>
      <c r="E39" s="147"/>
      <c r="F39" s="265" t="s">
        <v>2894</v>
      </c>
      <c r="G39" s="266"/>
      <c r="H39" s="267"/>
    </row>
    <row r="40" spans="1:8">
      <c r="B40" s="131"/>
      <c r="C40" s="131"/>
      <c r="D40" s="131"/>
      <c r="E40" s="131"/>
      <c r="F40" s="310"/>
      <c r="G40" s="311"/>
      <c r="H40" s="311"/>
    </row>
    <row r="41" spans="1:8">
      <c r="B41" s="131"/>
      <c r="C41" s="131"/>
      <c r="D41" s="131"/>
      <c r="E41" s="131"/>
    </row>
    <row r="42" spans="1:8">
      <c r="A42" s="131"/>
      <c r="B42" s="131"/>
      <c r="C42" s="131"/>
      <c r="D42" s="131"/>
      <c r="E42" s="131"/>
      <c r="F42" s="131"/>
      <c r="G42" s="131"/>
      <c r="H42" s="131"/>
    </row>
    <row r="43" spans="1:8">
      <c r="A43" s="131"/>
      <c r="B43" s="131"/>
      <c r="C43" s="131"/>
      <c r="D43" s="141"/>
      <c r="E43" s="141"/>
      <c r="F43" s="131"/>
      <c r="G43" s="131"/>
      <c r="H43" s="131"/>
    </row>
    <row r="44" spans="1:8">
      <c r="A44" s="142"/>
      <c r="B44" s="142"/>
      <c r="C44" s="445"/>
      <c r="D44" s="131"/>
      <c r="E44" s="131"/>
      <c r="F44" s="131"/>
      <c r="G44" s="131"/>
      <c r="H44" s="131"/>
    </row>
    <row r="45" spans="1:8">
      <c r="B45" s="131"/>
      <c r="C45" s="131"/>
      <c r="D45" s="131"/>
      <c r="E45" s="131"/>
      <c r="F45" s="131"/>
      <c r="G45" s="131"/>
      <c r="H45" s="131"/>
    </row>
    <row r="46" spans="1:8">
      <c r="A46" s="143" t="s">
        <v>8</v>
      </c>
      <c r="D46" s="143" t="s">
        <v>8</v>
      </c>
      <c r="E46" s="131"/>
      <c r="F46" s="143" t="s">
        <v>7</v>
      </c>
      <c r="G46" s="131"/>
      <c r="H46" s="144"/>
    </row>
    <row r="47" spans="1:8">
      <c r="A47" s="131"/>
      <c r="B47" s="131"/>
      <c r="C47" s="131"/>
      <c r="D47" s="131"/>
      <c r="E47" s="131"/>
      <c r="F47" s="131"/>
      <c r="G47" s="131"/>
      <c r="H47" s="131"/>
    </row>
    <row r="48" spans="1:8">
      <c r="A48" s="131"/>
      <c r="B48" s="131"/>
      <c r="C48" s="131"/>
      <c r="D48" s="131"/>
      <c r="E48" s="131"/>
      <c r="F48" s="131"/>
      <c r="G48" s="131"/>
      <c r="H48" s="131"/>
    </row>
    <row r="49" spans="1:8">
      <c r="A49" s="131"/>
      <c r="B49" s="131"/>
      <c r="C49" s="131"/>
      <c r="D49" s="131"/>
      <c r="E49" s="131"/>
      <c r="F49" s="131"/>
      <c r="G49" s="131"/>
      <c r="H49" s="131"/>
    </row>
    <row r="50" spans="1:8">
      <c r="A50" s="142"/>
      <c r="B50" s="142"/>
      <c r="C50" s="445"/>
      <c r="D50" s="142"/>
      <c r="E50" s="131"/>
      <c r="F50" s="142"/>
      <c r="G50" s="142"/>
      <c r="H50" s="142"/>
    </row>
    <row r="51" spans="1:8" s="109" customFormat="1" ht="17.100000000000001" customHeight="1">
      <c r="A51" s="131" t="s">
        <v>2948</v>
      </c>
      <c r="B51" s="146"/>
      <c r="C51" s="146"/>
      <c r="D51" s="131" t="s">
        <v>103</v>
      </c>
      <c r="E51" s="147"/>
      <c r="F51" s="147" t="s">
        <v>3</v>
      </c>
      <c r="G51" s="147"/>
      <c r="H51" s="147"/>
    </row>
    <row r="52" spans="1:8">
      <c r="A52" s="131"/>
      <c r="B52" s="131"/>
      <c r="C52" s="131"/>
      <c r="D52" s="131"/>
      <c r="E52" s="131"/>
      <c r="F52" s="131" t="s">
        <v>2</v>
      </c>
      <c r="G52" s="131"/>
      <c r="H52" s="131"/>
    </row>
    <row r="53" spans="1:8">
      <c r="A53" s="131"/>
      <c r="B53" s="131"/>
      <c r="C53" s="131"/>
      <c r="D53" s="131"/>
      <c r="E53" s="131"/>
      <c r="F53" s="131"/>
      <c r="G53" s="131"/>
      <c r="H53" s="131"/>
    </row>
    <row r="54" spans="1:8">
      <c r="A54" s="131"/>
      <c r="B54" s="131"/>
      <c r="C54" s="131"/>
      <c r="D54" s="131"/>
      <c r="E54" s="131"/>
      <c r="F54" s="110" t="s">
        <v>1</v>
      </c>
      <c r="G54" s="131"/>
      <c r="H54" s="131"/>
    </row>
    <row r="55" spans="1:8">
      <c r="A55" s="131"/>
      <c r="B55" s="131"/>
      <c r="C55" s="131"/>
      <c r="D55" s="131"/>
      <c r="E55" s="131"/>
      <c r="F55" s="110" t="s">
        <v>0</v>
      </c>
      <c r="G55" s="131"/>
      <c r="H55" s="131"/>
    </row>
    <row r="56" spans="1:8">
      <c r="A56" s="131"/>
      <c r="B56" s="131"/>
      <c r="C56" s="131"/>
      <c r="D56" s="131"/>
      <c r="E56" s="131"/>
      <c r="F56" s="131"/>
      <c r="G56" s="131"/>
      <c r="H56" s="131"/>
    </row>
    <row r="57" spans="1:8">
      <c r="A57" s="131"/>
      <c r="B57" s="131"/>
      <c r="C57" s="131"/>
      <c r="D57" s="131"/>
      <c r="E57" s="131"/>
      <c r="F57" s="131"/>
      <c r="G57" s="131"/>
      <c r="H57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EA1B-F6B9-4BE4-86A7-1676CB9C9DE8}">
  <sheetPr codeName="Sheet565"/>
  <dimension ref="A1:O53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" style="374" customWidth="1"/>
    <col min="2" max="2" width="13.42578125" style="374" customWidth="1"/>
    <col min="3" max="3" width="0.85546875" style="374" customWidth="1"/>
    <col min="4" max="4" width="21" style="374" customWidth="1"/>
    <col min="5" max="5" width="0.85546875" style="374" customWidth="1"/>
    <col min="6" max="6" width="12.42578125" style="374" customWidth="1"/>
    <col min="7" max="7" width="8.7109375" style="374" customWidth="1"/>
    <col min="8" max="8" width="13.28515625" style="374" customWidth="1"/>
    <col min="9" max="16384" width="9.140625" style="373"/>
  </cols>
  <sheetData>
    <row r="1" spans="1:14" ht="15">
      <c r="A1" s="534" t="s">
        <v>26</v>
      </c>
      <c r="B1" s="534"/>
      <c r="C1" s="534"/>
      <c r="D1" s="534"/>
      <c r="E1" s="534"/>
      <c r="F1" s="534"/>
      <c r="G1" s="534"/>
      <c r="H1" s="534"/>
    </row>
    <row r="2" spans="1:14">
      <c r="A2" s="535" t="s">
        <v>25</v>
      </c>
      <c r="B2" s="535"/>
      <c r="C2" s="535"/>
      <c r="D2" s="535"/>
      <c r="E2" s="535"/>
      <c r="F2" s="535"/>
      <c r="G2" s="535"/>
      <c r="H2" s="535"/>
    </row>
    <row r="3" spans="1:14">
      <c r="A3" s="535" t="s">
        <v>1480</v>
      </c>
      <c r="B3" s="535"/>
      <c r="C3" s="535"/>
      <c r="D3" s="535"/>
      <c r="E3" s="535"/>
      <c r="F3" s="535"/>
      <c r="G3" s="535"/>
      <c r="H3" s="535"/>
    </row>
    <row r="4" spans="1:14">
      <c r="A4" s="535" t="s">
        <v>1684</v>
      </c>
      <c r="B4" s="535"/>
      <c r="C4" s="535"/>
      <c r="D4" s="535"/>
      <c r="E4" s="535"/>
      <c r="F4" s="535"/>
      <c r="G4" s="535"/>
      <c r="H4" s="535"/>
    </row>
    <row r="8" spans="1:14">
      <c r="A8" s="374" t="s">
        <v>24</v>
      </c>
      <c r="F8" s="375" t="s">
        <v>23</v>
      </c>
    </row>
    <row r="9" spans="1:14">
      <c r="F9" s="376" t="s">
        <v>1110</v>
      </c>
      <c r="G9" s="489" t="s">
        <v>6593</v>
      </c>
    </row>
    <row r="10" spans="1:14">
      <c r="A10" s="131" t="s">
        <v>5090</v>
      </c>
      <c r="F10" s="376" t="s">
        <v>1685</v>
      </c>
      <c r="G10" s="132" t="s">
        <v>6572</v>
      </c>
    </row>
    <row r="11" spans="1:14">
      <c r="A11" s="131" t="s">
        <v>5873</v>
      </c>
      <c r="F11" s="376" t="s">
        <v>1163</v>
      </c>
      <c r="G11" s="132" t="s">
        <v>1094</v>
      </c>
    </row>
    <row r="12" spans="1:14">
      <c r="A12" s="131" t="s">
        <v>5874</v>
      </c>
      <c r="F12" s="376" t="s">
        <v>1188</v>
      </c>
      <c r="G12" s="111" t="s">
        <v>6594</v>
      </c>
    </row>
    <row r="13" spans="1:14">
      <c r="A13" s="131" t="s">
        <v>1354</v>
      </c>
      <c r="G13" s="111" t="s">
        <v>6182</v>
      </c>
    </row>
    <row r="15" spans="1:14">
      <c r="K15" s="379" t="s">
        <v>4530</v>
      </c>
      <c r="L15" s="377"/>
      <c r="M15" s="377"/>
      <c r="N15" s="377"/>
    </row>
    <row r="16" spans="1:14" s="385" customFormat="1" ht="20.100000000000001" customHeight="1">
      <c r="A16" s="380" t="s">
        <v>1140</v>
      </c>
      <c r="B16" s="381" t="s">
        <v>1098</v>
      </c>
      <c r="C16" s="381"/>
      <c r="D16" s="382" t="s">
        <v>14</v>
      </c>
      <c r="E16" s="382"/>
      <c r="F16" s="380"/>
      <c r="G16" s="383"/>
      <c r="H16" s="384" t="s">
        <v>13</v>
      </c>
      <c r="K16" s="379"/>
      <c r="L16" s="377"/>
      <c r="M16" s="377"/>
      <c r="N16" s="377"/>
    </row>
    <row r="17" spans="1:15">
      <c r="A17" s="377"/>
      <c r="B17" s="377"/>
      <c r="C17" s="377"/>
      <c r="D17" s="111"/>
      <c r="E17" s="111"/>
      <c r="F17" s="111"/>
      <c r="G17" s="111"/>
      <c r="H17" s="111"/>
      <c r="K17" s="377" t="s">
        <v>2719</v>
      </c>
      <c r="L17" s="377"/>
      <c r="M17" s="377"/>
      <c r="N17" s="377">
        <v>1350</v>
      </c>
    </row>
    <row r="18" spans="1:15">
      <c r="A18" s="386"/>
      <c r="B18" s="387"/>
      <c r="C18" s="387"/>
      <c r="D18" s="2" t="s">
        <v>6411</v>
      </c>
      <c r="E18" s="2"/>
      <c r="F18" s="111"/>
      <c r="G18" s="111"/>
      <c r="H18" s="111"/>
      <c r="K18" s="377" t="s">
        <v>1583</v>
      </c>
      <c r="L18" s="377"/>
      <c r="M18" s="377"/>
      <c r="N18" s="377">
        <v>600</v>
      </c>
    </row>
    <row r="19" spans="1:15">
      <c r="A19" s="386"/>
      <c r="B19" s="387"/>
      <c r="C19" s="387"/>
      <c r="D19" s="2"/>
      <c r="E19" s="2"/>
      <c r="F19" s="111"/>
      <c r="G19" s="111"/>
      <c r="H19" s="111"/>
      <c r="I19" s="377"/>
      <c r="K19" s="377" t="s">
        <v>4518</v>
      </c>
      <c r="L19" s="377"/>
      <c r="M19" s="377"/>
      <c r="N19" s="377">
        <v>150</v>
      </c>
    </row>
    <row r="20" spans="1:15">
      <c r="A20" s="241" t="s">
        <v>6565</v>
      </c>
      <c r="B20" s="241"/>
      <c r="C20" s="387"/>
      <c r="D20" s="111" t="s">
        <v>6595</v>
      </c>
      <c r="E20" s="111"/>
      <c r="F20" s="111"/>
      <c r="G20" s="111"/>
      <c r="H20" s="111">
        <v>500</v>
      </c>
      <c r="I20" s="377"/>
      <c r="K20" s="377"/>
      <c r="L20" s="377"/>
      <c r="M20" s="377"/>
      <c r="N20" s="377"/>
    </row>
    <row r="21" spans="1:15">
      <c r="A21" s="143"/>
      <c r="B21" s="387"/>
      <c r="C21" s="387"/>
      <c r="D21" s="111"/>
      <c r="E21" s="111"/>
      <c r="F21" s="111"/>
      <c r="G21" s="111"/>
      <c r="H21" s="111"/>
      <c r="I21" s="377"/>
      <c r="K21" s="377"/>
      <c r="L21" s="377"/>
      <c r="M21" s="377"/>
      <c r="N21" s="377"/>
    </row>
    <row r="22" spans="1:15">
      <c r="B22" s="388"/>
      <c r="C22" s="388"/>
      <c r="D22" s="111"/>
      <c r="E22" s="111"/>
      <c r="F22" s="111"/>
      <c r="G22" s="111"/>
      <c r="H22" s="111"/>
      <c r="I22" s="377"/>
    </row>
    <row r="23" spans="1:15">
      <c r="A23" s="373"/>
      <c r="B23" s="377"/>
      <c r="C23" s="377"/>
      <c r="D23" s="2"/>
      <c r="E23" s="110"/>
      <c r="I23" s="377"/>
      <c r="K23" s="111" t="s">
        <v>2719</v>
      </c>
      <c r="L23" s="111"/>
      <c r="M23" s="111"/>
      <c r="N23" s="111">
        <v>810</v>
      </c>
      <c r="O23" s="377"/>
    </row>
    <row r="24" spans="1:15">
      <c r="A24" s="373"/>
      <c r="B24" s="377"/>
      <c r="C24" s="377"/>
      <c r="D24" s="111"/>
      <c r="E24" s="111"/>
      <c r="F24" s="111"/>
      <c r="G24" s="111"/>
      <c r="H24" s="111"/>
      <c r="I24" s="377"/>
      <c r="K24" s="111" t="s">
        <v>1583</v>
      </c>
      <c r="L24" s="111"/>
      <c r="M24" s="111"/>
      <c r="N24" s="111">
        <v>300</v>
      </c>
      <c r="O24" s="377"/>
    </row>
    <row r="25" spans="1:15">
      <c r="A25" s="112"/>
      <c r="B25" s="378"/>
      <c r="C25" s="378"/>
      <c r="D25" s="111"/>
      <c r="E25" s="111"/>
      <c r="F25" s="111"/>
      <c r="G25" s="111"/>
      <c r="H25" s="111"/>
      <c r="I25" s="377"/>
      <c r="K25" s="111" t="s">
        <v>4518</v>
      </c>
      <c r="L25" s="111"/>
      <c r="M25" s="111"/>
      <c r="N25" s="111">
        <v>100</v>
      </c>
      <c r="O25" s="377"/>
    </row>
    <row r="26" spans="1:15">
      <c r="D26" s="131"/>
      <c r="E26" s="131"/>
    </row>
    <row r="27" spans="1:15">
      <c r="A27" s="112"/>
      <c r="D27" s="111"/>
      <c r="E27" s="111"/>
    </row>
    <row r="28" spans="1:15">
      <c r="A28" s="112"/>
      <c r="D28" s="2"/>
      <c r="E28" s="2"/>
    </row>
    <row r="29" spans="1:15">
      <c r="A29" s="112"/>
      <c r="D29" s="2"/>
      <c r="E29" s="2"/>
    </row>
    <row r="30" spans="1:15">
      <c r="A30" s="112"/>
      <c r="D30" s="2"/>
      <c r="E30" s="2"/>
    </row>
    <row r="31" spans="1:15">
      <c r="A31" s="112"/>
      <c r="D31" s="111"/>
      <c r="E31" s="111"/>
    </row>
    <row r="32" spans="1:15">
      <c r="A32" s="120"/>
      <c r="D32" s="111"/>
      <c r="E32" s="111"/>
    </row>
    <row r="33" spans="1:8">
      <c r="A33" s="391"/>
      <c r="H33" s="373"/>
    </row>
    <row r="34" spans="1:8" ht="13.5" thickBot="1">
      <c r="A34" s="391"/>
      <c r="H34" s="392">
        <f>SUM(H20:H32)</f>
        <v>500</v>
      </c>
    </row>
    <row r="35" spans="1:8" ht="13.5" thickTop="1">
      <c r="A35" s="391"/>
    </row>
    <row r="36" spans="1:8" ht="21.75" customHeight="1">
      <c r="A36" s="393" t="s">
        <v>1686</v>
      </c>
      <c r="B36" s="394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Five Hundred and NO/100 -----------</v>
      </c>
      <c r="C36" s="394"/>
      <c r="D36" s="395"/>
      <c r="E36" s="395"/>
      <c r="F36" s="395"/>
      <c r="G36" s="395"/>
      <c r="H36" s="395"/>
    </row>
    <row r="37" spans="1:8">
      <c r="A37" s="396"/>
    </row>
    <row r="38" spans="1:8" ht="25.5">
      <c r="A38" s="374" t="s">
        <v>10</v>
      </c>
      <c r="F38" s="397" t="s">
        <v>2894</v>
      </c>
      <c r="G38" s="398"/>
      <c r="H38" s="399"/>
    </row>
    <row r="39" spans="1:8">
      <c r="A39" s="400"/>
    </row>
    <row r="40" spans="1:8" s="407" customFormat="1" ht="17.100000000000001" customHeight="1">
      <c r="A40" s="374"/>
      <c r="B40" s="374"/>
      <c r="C40" s="374"/>
      <c r="D40" s="374"/>
      <c r="E40" s="374"/>
      <c r="F40" s="374"/>
      <c r="G40" s="374"/>
      <c r="H40" s="374"/>
    </row>
    <row r="41" spans="1:8">
      <c r="A41" s="374" t="s">
        <v>51</v>
      </c>
      <c r="D41" s="401"/>
      <c r="E41" s="401"/>
    </row>
    <row r="42" spans="1:8">
      <c r="A42" s="402"/>
      <c r="B42" s="402"/>
      <c r="C42" s="452"/>
    </row>
    <row r="43" spans="1:8">
      <c r="F43" s="403" t="s">
        <v>7</v>
      </c>
    </row>
    <row r="44" spans="1:8">
      <c r="A44" s="374" t="s">
        <v>8</v>
      </c>
      <c r="D44" s="374" t="s">
        <v>8</v>
      </c>
      <c r="H44" s="404"/>
    </row>
    <row r="48" spans="1:8">
      <c r="A48" s="402" t="s">
        <v>51</v>
      </c>
      <c r="B48" s="402"/>
      <c r="C48" s="452"/>
      <c r="D48" s="402" t="s">
        <v>51</v>
      </c>
      <c r="F48" s="402"/>
      <c r="G48" s="402"/>
      <c r="H48" s="402"/>
    </row>
    <row r="49" spans="1:8">
      <c r="A49" s="405" t="s">
        <v>2948</v>
      </c>
      <c r="B49" s="406"/>
      <c r="C49" s="406"/>
      <c r="D49" s="145" t="s">
        <v>103</v>
      </c>
      <c r="E49" s="400"/>
      <c r="F49" s="400" t="s">
        <v>3</v>
      </c>
      <c r="G49" s="400"/>
      <c r="H49" s="400"/>
    </row>
    <row r="50" spans="1:8">
      <c r="A50" s="405"/>
      <c r="D50" s="405"/>
      <c r="F50" s="374" t="s">
        <v>2</v>
      </c>
    </row>
    <row r="52" spans="1:8">
      <c r="F52" s="408" t="s">
        <v>1</v>
      </c>
    </row>
    <row r="53" spans="1:8">
      <c r="F53" s="408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D6928-96D0-45F7-91C2-10DD1F7E8DF9}">
  <sheetPr codeName="Sheet566">
    <pageSetUpPr fitToPage="1"/>
  </sheetPr>
  <dimension ref="A1:H57"/>
  <sheetViews>
    <sheetView topLeftCell="A7" workbookViewId="0">
      <selection activeCell="G9" sqref="G9:G13"/>
    </sheetView>
  </sheetViews>
  <sheetFormatPr defaultRowHeight="12.75"/>
  <cols>
    <col min="1" max="1" width="14.28515625" style="86" customWidth="1"/>
    <col min="2" max="2" width="19" style="86" customWidth="1"/>
    <col min="3" max="3" width="1.42578125" style="86" customWidth="1"/>
    <col min="4" max="4" width="23" style="86" customWidth="1"/>
    <col min="5" max="5" width="1.42578125" style="86" customWidth="1"/>
    <col min="6" max="6" width="16.42578125" style="86" customWidth="1"/>
    <col min="7" max="7" width="9" style="86" customWidth="1"/>
    <col min="8" max="8" width="12.85546875" style="86" customWidth="1"/>
    <col min="9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1481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B8" s="131"/>
      <c r="C8" s="131"/>
      <c r="D8" s="131"/>
      <c r="E8" s="131"/>
      <c r="F8" s="87" t="s">
        <v>23</v>
      </c>
      <c r="G8" s="131"/>
      <c r="H8" s="131"/>
    </row>
    <row r="9" spans="1:8">
      <c r="A9" s="131"/>
      <c r="B9" s="131"/>
      <c r="C9" s="131"/>
      <c r="D9" s="131"/>
      <c r="E9" s="131"/>
      <c r="F9" s="132" t="s">
        <v>1127</v>
      </c>
      <c r="G9" s="132" t="s">
        <v>5916</v>
      </c>
      <c r="H9" s="111"/>
    </row>
    <row r="10" spans="1:8">
      <c r="A10" s="131" t="s">
        <v>5920</v>
      </c>
      <c r="B10" s="131"/>
      <c r="C10" s="131"/>
      <c r="D10" s="131"/>
      <c r="E10" s="131"/>
      <c r="F10" s="132" t="s">
        <v>1162</v>
      </c>
      <c r="G10" s="132" t="s">
        <v>5913</v>
      </c>
      <c r="H10" s="111"/>
    </row>
    <row r="11" spans="1:8">
      <c r="A11" s="131" t="s">
        <v>5919</v>
      </c>
      <c r="B11" s="131"/>
      <c r="C11" s="131"/>
      <c r="D11" s="131"/>
      <c r="E11" s="131"/>
      <c r="F11" s="132" t="s">
        <v>1163</v>
      </c>
      <c r="G11" s="132" t="s">
        <v>1094</v>
      </c>
      <c r="H11" s="111"/>
    </row>
    <row r="12" spans="1:8">
      <c r="A12" s="131" t="s">
        <v>5921</v>
      </c>
      <c r="B12" s="131"/>
      <c r="C12" s="131"/>
      <c r="D12" s="131"/>
      <c r="E12" s="131"/>
      <c r="F12" s="132" t="s">
        <v>1135</v>
      </c>
      <c r="G12" s="111" t="s">
        <v>5917</v>
      </c>
      <c r="H12" s="111"/>
    </row>
    <row r="13" spans="1:8">
      <c r="A13" s="131" t="s">
        <v>1354</v>
      </c>
      <c r="B13" s="131"/>
      <c r="C13" s="131"/>
      <c r="D13" s="131"/>
      <c r="E13" s="131"/>
      <c r="F13" s="131"/>
      <c r="G13" s="111" t="s">
        <v>5914</v>
      </c>
      <c r="H13" s="131"/>
    </row>
    <row r="14" spans="1:8">
      <c r="A14" s="131"/>
      <c r="B14" s="131"/>
      <c r="C14" s="131"/>
      <c r="D14" s="131"/>
      <c r="E14" s="131"/>
      <c r="F14" s="131"/>
      <c r="G14" s="131"/>
      <c r="H14" s="131"/>
    </row>
    <row r="15" spans="1:8">
      <c r="A15" s="131"/>
      <c r="B15" s="131"/>
      <c r="C15" s="131"/>
      <c r="D15" s="131"/>
      <c r="E15" s="131"/>
      <c r="F15" s="131"/>
      <c r="G15" s="131"/>
      <c r="H15" s="131"/>
    </row>
    <row r="16" spans="1:8" s="95" customFormat="1" ht="20.100000000000001" customHeight="1">
      <c r="A16" s="90" t="s">
        <v>1122</v>
      </c>
      <c r="B16" s="90" t="s">
        <v>1132</v>
      </c>
      <c r="C16" s="90"/>
      <c r="D16" s="92" t="s">
        <v>14</v>
      </c>
      <c r="E16" s="92"/>
      <c r="F16" s="90"/>
      <c r="G16" s="93"/>
      <c r="H16" s="94" t="s">
        <v>13</v>
      </c>
    </row>
    <row r="17" spans="1:8">
      <c r="A17" s="131"/>
      <c r="B17" s="131"/>
      <c r="C17" s="131"/>
      <c r="D17" s="131"/>
      <c r="E17" s="131"/>
      <c r="F17" s="131"/>
      <c r="G17" s="131"/>
      <c r="H17" s="131"/>
    </row>
    <row r="18" spans="1:8">
      <c r="A18" s="131"/>
      <c r="B18" s="131"/>
      <c r="C18" s="131"/>
      <c r="D18" s="110" t="s">
        <v>3176</v>
      </c>
      <c r="E18" s="110"/>
      <c r="F18" s="131"/>
      <c r="G18" s="131"/>
      <c r="H18" s="131"/>
    </row>
    <row r="19" spans="1:8">
      <c r="A19" s="131"/>
      <c r="B19" s="131"/>
      <c r="C19" s="131"/>
      <c r="D19" s="131"/>
      <c r="E19" s="131"/>
      <c r="F19" s="131"/>
      <c r="G19" s="131"/>
      <c r="H19" s="131"/>
    </row>
    <row r="20" spans="1:8">
      <c r="A20" s="158" t="s">
        <v>5918</v>
      </c>
      <c r="B20" s="424" t="s">
        <v>5922</v>
      </c>
      <c r="C20" s="424"/>
      <c r="D20" s="131" t="s">
        <v>5923</v>
      </c>
      <c r="E20" s="131"/>
      <c r="F20" s="131"/>
      <c r="G20" s="131"/>
      <c r="H20" s="131">
        <v>300</v>
      </c>
    </row>
    <row r="21" spans="1:8">
      <c r="A21" s="158"/>
      <c r="B21" s="158"/>
      <c r="C21" s="158"/>
      <c r="D21" s="131"/>
      <c r="E21" s="131"/>
      <c r="F21" s="131"/>
      <c r="G21" s="131"/>
      <c r="H21" s="131"/>
    </row>
    <row r="22" spans="1:8">
      <c r="A22" s="158"/>
      <c r="B22" s="158"/>
      <c r="C22" s="158"/>
      <c r="D22" s="131"/>
      <c r="E22" s="131"/>
      <c r="F22" s="131"/>
      <c r="G22" s="131"/>
      <c r="H22" s="131"/>
    </row>
    <row r="23" spans="1:8">
      <c r="A23" s="131"/>
      <c r="B23" s="140"/>
      <c r="C23" s="140"/>
      <c r="D23" s="131"/>
      <c r="E23" s="131"/>
      <c r="F23" s="131"/>
      <c r="G23" s="131"/>
      <c r="H23" s="131"/>
    </row>
    <row r="24" spans="1:8">
      <c r="A24" s="158"/>
      <c r="B24" s="141"/>
      <c r="C24" s="141"/>
      <c r="D24" s="131"/>
      <c r="E24" s="131"/>
      <c r="F24" s="131"/>
      <c r="G24" s="131"/>
      <c r="H24" s="131"/>
    </row>
    <row r="25" spans="1:8">
      <c r="A25" s="158"/>
      <c r="B25" s="141"/>
      <c r="C25" s="141"/>
      <c r="D25" s="131"/>
      <c r="E25" s="131"/>
      <c r="F25" s="131"/>
      <c r="G25" s="131"/>
      <c r="H25" s="131"/>
    </row>
    <row r="26" spans="1:8">
      <c r="A26" s="158"/>
      <c r="B26" s="141"/>
      <c r="C26" s="141"/>
      <c r="D26" s="110"/>
      <c r="E26" s="110"/>
      <c r="F26" s="131"/>
      <c r="G26" s="131"/>
      <c r="H26" s="131"/>
    </row>
    <row r="27" spans="1:8">
      <c r="A27" s="158"/>
      <c r="B27" s="141"/>
      <c r="C27" s="141"/>
      <c r="D27" s="131"/>
      <c r="E27" s="131"/>
      <c r="F27" s="131"/>
      <c r="G27" s="131"/>
      <c r="H27" s="131"/>
    </row>
    <row r="28" spans="1:8">
      <c r="A28" s="158"/>
      <c r="B28" s="141"/>
      <c r="C28" s="141"/>
      <c r="D28" s="131"/>
      <c r="E28" s="131"/>
      <c r="F28" s="131"/>
      <c r="G28" s="131"/>
      <c r="H28" s="131"/>
    </row>
    <row r="29" spans="1:8">
      <c r="A29" s="158"/>
      <c r="B29" s="140"/>
      <c r="C29" s="140"/>
      <c r="D29" s="131"/>
      <c r="E29" s="131"/>
      <c r="F29" s="131"/>
      <c r="G29" s="131"/>
      <c r="H29" s="131"/>
    </row>
    <row r="30" spans="1:8">
      <c r="A30" s="244"/>
      <c r="B30" s="140"/>
      <c r="C30" s="140"/>
      <c r="D30" s="131"/>
      <c r="E30" s="131"/>
      <c r="F30" s="131"/>
      <c r="G30" s="131"/>
      <c r="H30" s="131"/>
    </row>
    <row r="31" spans="1:8">
      <c r="A31" s="244"/>
      <c r="B31" s="140"/>
      <c r="C31" s="140"/>
      <c r="D31" s="131"/>
      <c r="E31" s="131"/>
      <c r="F31" s="131"/>
      <c r="G31" s="131"/>
      <c r="H31" s="131"/>
    </row>
    <row r="32" spans="1:8">
      <c r="A32" s="246"/>
      <c r="B32" s="140"/>
      <c r="C32" s="140"/>
      <c r="D32" s="131"/>
      <c r="E32" s="131"/>
      <c r="F32" s="131"/>
      <c r="G32" s="131"/>
      <c r="H32" s="131"/>
    </row>
    <row r="33" spans="1:8">
      <c r="A33" s="162"/>
      <c r="B33" s="131"/>
      <c r="C33" s="131"/>
      <c r="D33" s="131"/>
      <c r="E33" s="131"/>
      <c r="F33" s="131"/>
      <c r="G33" s="131"/>
      <c r="H33" s="131"/>
    </row>
    <row r="34" spans="1:8">
      <c r="A34" s="131"/>
      <c r="B34" s="131"/>
      <c r="C34" s="131"/>
      <c r="D34" s="131"/>
      <c r="E34" s="131"/>
    </row>
    <row r="35" spans="1:8" ht="13.5" thickBot="1">
      <c r="A35" s="131"/>
      <c r="B35" s="131"/>
      <c r="C35" s="131"/>
      <c r="D35" s="131"/>
      <c r="E35" s="131"/>
      <c r="F35" s="131"/>
      <c r="G35" s="131"/>
      <c r="H35" s="137">
        <f>SUM(H20:H34)</f>
        <v>300</v>
      </c>
    </row>
    <row r="36" spans="1:8" ht="13.5" thickTop="1">
      <c r="A36" s="131"/>
      <c r="B36" s="131"/>
      <c r="C36" s="131"/>
      <c r="D36" s="131"/>
      <c r="E36" s="131"/>
      <c r="F36" s="131"/>
      <c r="G36" s="131"/>
      <c r="H36" s="131"/>
    </row>
    <row r="37" spans="1:8" ht="21.75" customHeight="1">
      <c r="A37" s="13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Hundred and NO/100 -----------</v>
      </c>
      <c r="C37" s="202"/>
      <c r="D37" s="139"/>
      <c r="E37" s="139"/>
      <c r="F37" s="423"/>
      <c r="G37" s="423"/>
      <c r="H37" s="423"/>
    </row>
    <row r="38" spans="1:8">
      <c r="A38" s="212"/>
      <c r="B38" s="151"/>
      <c r="C38" s="151"/>
      <c r="D38" s="147"/>
      <c r="E38" s="147"/>
      <c r="F38" s="309"/>
      <c r="G38" s="309"/>
      <c r="H38" s="309"/>
    </row>
    <row r="39" spans="1:8" ht="25.5">
      <c r="A39" s="147" t="s">
        <v>10</v>
      </c>
      <c r="B39" s="151"/>
      <c r="C39" s="151"/>
      <c r="D39" s="147"/>
      <c r="E39" s="147"/>
      <c r="F39" s="265" t="s">
        <v>2894</v>
      </c>
      <c r="G39" s="266"/>
      <c r="H39" s="267"/>
    </row>
    <row r="40" spans="1:8">
      <c r="B40" s="131"/>
      <c r="C40" s="131"/>
      <c r="D40" s="131"/>
      <c r="E40" s="131"/>
      <c r="F40" s="310"/>
      <c r="G40" s="311"/>
      <c r="H40" s="311"/>
    </row>
    <row r="41" spans="1:8">
      <c r="B41" s="131"/>
      <c r="C41" s="131"/>
      <c r="D41" s="131"/>
      <c r="E41" s="131"/>
    </row>
    <row r="42" spans="1:8">
      <c r="A42" s="131"/>
      <c r="B42" s="131"/>
      <c r="C42" s="131"/>
      <c r="D42" s="131"/>
      <c r="E42" s="131"/>
      <c r="F42" s="131"/>
      <c r="G42" s="131"/>
      <c r="H42" s="131"/>
    </row>
    <row r="43" spans="1:8">
      <c r="A43" s="131"/>
      <c r="B43" s="131"/>
      <c r="C43" s="131"/>
      <c r="D43" s="141"/>
      <c r="E43" s="141"/>
      <c r="F43" s="131"/>
      <c r="G43" s="131"/>
      <c r="H43" s="131"/>
    </row>
    <row r="44" spans="1:8">
      <c r="A44" s="142"/>
      <c r="B44" s="142"/>
      <c r="C44" s="445"/>
      <c r="D44" s="131"/>
      <c r="E44" s="131"/>
      <c r="F44" s="131"/>
      <c r="G44" s="131"/>
      <c r="H44" s="131"/>
    </row>
    <row r="45" spans="1:8">
      <c r="B45" s="131"/>
      <c r="C45" s="131"/>
      <c r="D45" s="131"/>
      <c r="E45" s="131"/>
      <c r="F45" s="131"/>
      <c r="G45" s="131"/>
      <c r="H45" s="131"/>
    </row>
    <row r="46" spans="1:8">
      <c r="A46" s="143" t="s">
        <v>8</v>
      </c>
      <c r="D46" s="143" t="s">
        <v>8</v>
      </c>
      <c r="E46" s="131"/>
      <c r="F46" s="143" t="s">
        <v>7</v>
      </c>
      <c r="G46" s="131"/>
      <c r="H46" s="144"/>
    </row>
    <row r="47" spans="1:8">
      <c r="A47" s="131"/>
      <c r="B47" s="131"/>
      <c r="C47" s="131"/>
      <c r="D47" s="131"/>
      <c r="E47" s="131"/>
      <c r="F47" s="131"/>
      <c r="G47" s="131"/>
      <c r="H47" s="131"/>
    </row>
    <row r="48" spans="1:8">
      <c r="A48" s="131"/>
      <c r="B48" s="131"/>
      <c r="C48" s="131"/>
      <c r="D48" s="131"/>
      <c r="E48" s="131"/>
      <c r="F48" s="131"/>
      <c r="G48" s="131"/>
      <c r="H48" s="131"/>
    </row>
    <row r="49" spans="1:8">
      <c r="A49" s="131"/>
      <c r="B49" s="131"/>
      <c r="C49" s="131"/>
      <c r="D49" s="131"/>
      <c r="E49" s="131"/>
      <c r="F49" s="131"/>
      <c r="G49" s="131"/>
      <c r="H49" s="131"/>
    </row>
    <row r="50" spans="1:8">
      <c r="A50" s="142"/>
      <c r="B50" s="142"/>
      <c r="C50" s="445"/>
      <c r="D50" s="142"/>
      <c r="E50" s="131"/>
      <c r="F50" s="142"/>
      <c r="G50" s="142"/>
      <c r="H50" s="142"/>
    </row>
    <row r="51" spans="1:8" s="109" customFormat="1" ht="17.100000000000001" customHeight="1">
      <c r="A51" s="131" t="s">
        <v>2948</v>
      </c>
      <c r="B51" s="146"/>
      <c r="C51" s="146"/>
      <c r="D51" s="131" t="s">
        <v>103</v>
      </c>
      <c r="E51" s="147"/>
      <c r="F51" s="147" t="s">
        <v>3</v>
      </c>
      <c r="G51" s="147"/>
      <c r="H51" s="147"/>
    </row>
    <row r="52" spans="1:8">
      <c r="A52" s="131"/>
      <c r="B52" s="131"/>
      <c r="C52" s="131"/>
      <c r="D52" s="131"/>
      <c r="E52" s="131"/>
      <c r="F52" s="131" t="s">
        <v>2</v>
      </c>
      <c r="G52" s="131"/>
      <c r="H52" s="131"/>
    </row>
    <row r="53" spans="1:8">
      <c r="A53" s="131"/>
      <c r="B53" s="131"/>
      <c r="C53" s="131"/>
      <c r="D53" s="131"/>
      <c r="E53" s="131"/>
      <c r="F53" s="131"/>
      <c r="G53" s="131"/>
      <c r="H53" s="131"/>
    </row>
    <row r="54" spans="1:8">
      <c r="A54" s="131"/>
      <c r="B54" s="131"/>
      <c r="C54" s="131"/>
      <c r="D54" s="131"/>
      <c r="E54" s="131"/>
      <c r="F54" s="110" t="s">
        <v>1</v>
      </c>
      <c r="G54" s="131"/>
      <c r="H54" s="131"/>
    </row>
    <row r="55" spans="1:8">
      <c r="A55" s="131"/>
      <c r="B55" s="131"/>
      <c r="C55" s="131"/>
      <c r="D55" s="131"/>
      <c r="E55" s="131"/>
      <c r="F55" s="110" t="s">
        <v>0</v>
      </c>
      <c r="G55" s="131"/>
      <c r="H55" s="131"/>
    </row>
    <row r="56" spans="1:8">
      <c r="A56" s="131"/>
      <c r="B56" s="131"/>
      <c r="C56" s="131"/>
      <c r="D56" s="131"/>
      <c r="E56" s="131"/>
      <c r="F56" s="131"/>
      <c r="G56" s="131"/>
      <c r="H56" s="131"/>
    </row>
    <row r="57" spans="1:8">
      <c r="A57" s="131"/>
      <c r="B57" s="131"/>
      <c r="C57" s="131"/>
      <c r="D57" s="131"/>
      <c r="E57" s="131"/>
      <c r="F57" s="131"/>
      <c r="G57" s="131"/>
      <c r="H57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EC706-84F4-445A-89E3-7DA51DD7C7F9}">
  <sheetPr codeName="Sheet524"/>
  <dimension ref="A1:S53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85546875" style="111" customWidth="1"/>
    <col min="2" max="2" width="12.140625" style="111" customWidth="1"/>
    <col min="3" max="3" width="0.5703125" style="111" customWidth="1"/>
    <col min="4" max="4" width="23" style="111" customWidth="1"/>
    <col min="5" max="5" width="1" style="111" customWidth="1"/>
    <col min="6" max="6" width="13.5703125" style="111" customWidth="1"/>
    <col min="7" max="7" width="9.5703125" style="111" customWidth="1"/>
    <col min="8" max="8" width="13" style="111" customWidth="1"/>
    <col min="9" max="10" width="9.140625" style="111"/>
    <col min="11" max="11" width="9.7109375" style="111" bestFit="1" customWidth="1"/>
    <col min="12" max="18" width="9.140625" style="111"/>
    <col min="19" max="19" width="10.85546875" style="111" bestFit="1" customWidth="1"/>
    <col min="20" max="16384" width="9.140625" style="111"/>
  </cols>
  <sheetData>
    <row r="1" spans="1:19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9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9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9">
      <c r="A4" s="530" t="s">
        <v>1481</v>
      </c>
      <c r="B4" s="530"/>
      <c r="C4" s="530"/>
      <c r="D4" s="530"/>
      <c r="E4" s="530"/>
      <c r="F4" s="530"/>
      <c r="G4" s="530"/>
      <c r="H4" s="530"/>
    </row>
    <row r="7" spans="1:19">
      <c r="J7" s="111" t="s">
        <v>6673</v>
      </c>
      <c r="K7" s="111">
        <v>43963</v>
      </c>
      <c r="L7" s="111" t="s">
        <v>1270</v>
      </c>
    </row>
    <row r="8" spans="1:19">
      <c r="A8" s="111" t="s">
        <v>24</v>
      </c>
      <c r="F8" s="22" t="s">
        <v>23</v>
      </c>
    </row>
    <row r="9" spans="1:19">
      <c r="F9" s="112" t="s">
        <v>1090</v>
      </c>
      <c r="G9" s="489" t="s">
        <v>6673</v>
      </c>
    </row>
    <row r="10" spans="1:19">
      <c r="A10" s="111" t="s">
        <v>5402</v>
      </c>
      <c r="F10" s="112" t="s">
        <v>1340</v>
      </c>
      <c r="G10" s="489" t="s">
        <v>6635</v>
      </c>
    </row>
    <row r="11" spans="1:19">
      <c r="A11" s="111" t="s">
        <v>5403</v>
      </c>
      <c r="F11" s="112" t="s">
        <v>1341</v>
      </c>
      <c r="G11" s="489" t="s">
        <v>1094</v>
      </c>
    </row>
    <row r="12" spans="1:19">
      <c r="A12" s="111" t="s">
        <v>5404</v>
      </c>
      <c r="F12" s="112" t="s">
        <v>1135</v>
      </c>
      <c r="G12" s="486" t="s">
        <v>1270</v>
      </c>
    </row>
    <row r="13" spans="1:19">
      <c r="A13" s="111" t="s">
        <v>5405</v>
      </c>
      <c r="L13" s="116"/>
      <c r="M13" s="116"/>
      <c r="N13" s="116"/>
      <c r="O13" s="2" t="s">
        <v>5407</v>
      </c>
      <c r="P13" s="2"/>
    </row>
    <row r="14" spans="1:19">
      <c r="A14" s="111" t="s">
        <v>5406</v>
      </c>
    </row>
    <row r="15" spans="1:19">
      <c r="L15" s="116" t="s">
        <v>5277</v>
      </c>
      <c r="M15" s="241" t="s">
        <v>5408</v>
      </c>
      <c r="N15" s="121"/>
      <c r="O15" s="111" t="s">
        <v>5411</v>
      </c>
      <c r="S15" s="111">
        <f>63000000*0.000306</f>
        <v>19278</v>
      </c>
    </row>
    <row r="16" spans="1:19" s="15" customFormat="1" ht="20.100000000000001" customHeight="1">
      <c r="A16" s="18" t="s">
        <v>1113</v>
      </c>
      <c r="B16" s="129" t="s">
        <v>1114</v>
      </c>
      <c r="C16" s="129"/>
      <c r="D16" s="533" t="s">
        <v>14</v>
      </c>
      <c r="E16" s="533"/>
      <c r="F16" s="533"/>
      <c r="G16" s="17"/>
      <c r="H16" s="16" t="s">
        <v>13</v>
      </c>
      <c r="L16" s="116"/>
      <c r="M16" s="116"/>
      <c r="N16" s="121"/>
      <c r="O16" s="111" t="s">
        <v>5410</v>
      </c>
      <c r="P16" s="111"/>
      <c r="Q16" s="111"/>
      <c r="R16" s="111"/>
      <c r="S16" s="111"/>
    </row>
    <row r="17" spans="1:19">
      <c r="P17" s="2"/>
    </row>
    <row r="18" spans="1:19">
      <c r="A18" s="483"/>
      <c r="B18" s="483"/>
      <c r="C18" s="483"/>
      <c r="D18" s="482" t="s">
        <v>3657</v>
      </c>
      <c r="E18" s="483"/>
      <c r="F18" s="483"/>
      <c r="G18" s="483"/>
      <c r="H18" s="483"/>
      <c r="L18" s="116" t="s">
        <v>5379</v>
      </c>
      <c r="M18" s="241" t="s">
        <v>5409</v>
      </c>
      <c r="N18" s="116"/>
      <c r="O18" s="111" t="s">
        <v>5412</v>
      </c>
      <c r="S18" s="111">
        <f>63000000*0.000306</f>
        <v>19278</v>
      </c>
    </row>
    <row r="19" spans="1:19">
      <c r="A19" s="483"/>
      <c r="B19" s="314"/>
      <c r="C19" s="483"/>
      <c r="D19" s="483"/>
      <c r="E19" s="483"/>
      <c r="F19" s="483"/>
      <c r="G19" s="483"/>
      <c r="H19" s="483"/>
      <c r="L19" s="116"/>
      <c r="M19" s="116"/>
      <c r="N19" s="121"/>
      <c r="O19" s="111" t="s">
        <v>5410</v>
      </c>
    </row>
    <row r="20" spans="1:19">
      <c r="A20" s="485" t="s">
        <v>6674</v>
      </c>
      <c r="B20" s="314" t="s">
        <v>6675</v>
      </c>
      <c r="C20" s="483"/>
      <c r="D20" s="483" t="s">
        <v>6676</v>
      </c>
      <c r="E20" s="483"/>
      <c r="F20" s="483"/>
      <c r="G20" s="483"/>
      <c r="H20" s="483">
        <f>67500000*0.000309</f>
        <v>20857.5</v>
      </c>
      <c r="L20" s="116"/>
      <c r="M20" s="116"/>
      <c r="N20" s="121"/>
    </row>
    <row r="21" spans="1:19">
      <c r="A21" s="483"/>
      <c r="B21" s="314"/>
      <c r="C21" s="483"/>
      <c r="D21" s="483" t="s">
        <v>6677</v>
      </c>
      <c r="E21" s="483"/>
      <c r="F21" s="483"/>
      <c r="G21" s="483"/>
      <c r="H21" s="483"/>
      <c r="L21" s="116"/>
      <c r="M21" s="121"/>
      <c r="N21" s="121"/>
      <c r="O21" s="111" t="s">
        <v>1697</v>
      </c>
      <c r="S21" s="111">
        <v>20</v>
      </c>
    </row>
    <row r="22" spans="1:19">
      <c r="A22" s="483"/>
      <c r="B22" s="314"/>
      <c r="C22" s="483"/>
      <c r="D22" s="483"/>
      <c r="E22" s="483"/>
      <c r="F22" s="483"/>
      <c r="G22" s="483"/>
      <c r="H22" s="483"/>
    </row>
    <row r="23" spans="1:19">
      <c r="A23" s="485"/>
      <c r="B23" s="314"/>
      <c r="C23" s="483"/>
      <c r="D23" s="483" t="s">
        <v>1697</v>
      </c>
      <c r="E23" s="483"/>
      <c r="F23" s="483"/>
      <c r="G23" s="483"/>
      <c r="H23" s="483">
        <v>20</v>
      </c>
    </row>
    <row r="24" spans="1:19">
      <c r="A24" s="483"/>
      <c r="B24" s="314"/>
      <c r="C24" s="483"/>
      <c r="D24" s="483"/>
      <c r="E24" s="483"/>
      <c r="F24" s="483"/>
      <c r="G24" s="483"/>
      <c r="H24" s="483"/>
    </row>
    <row r="25" spans="1:19">
      <c r="A25" s="483"/>
      <c r="B25" s="314"/>
      <c r="C25" s="483"/>
      <c r="D25" s="167" t="s">
        <v>6351</v>
      </c>
      <c r="E25" s="483"/>
      <c r="F25" s="483"/>
      <c r="G25" s="483"/>
      <c r="H25" s="483"/>
    </row>
    <row r="26" spans="1:19" s="483" customFormat="1"/>
    <row r="27" spans="1:19" s="483" customFormat="1"/>
    <row r="28" spans="1:19" s="483" customFormat="1"/>
    <row r="29" spans="1:19" s="483" customFormat="1"/>
    <row r="30" spans="1:19">
      <c r="A30" s="483"/>
      <c r="B30" s="483"/>
      <c r="C30" s="483"/>
      <c r="D30" s="483"/>
      <c r="E30" s="483"/>
      <c r="F30" s="483"/>
      <c r="G30" s="483"/>
      <c r="H30" s="483"/>
    </row>
    <row r="31" spans="1:19">
      <c r="A31" s="483"/>
      <c r="B31" s="483"/>
      <c r="C31" s="483"/>
      <c r="D31" s="483"/>
      <c r="E31" s="483"/>
      <c r="F31" s="483"/>
      <c r="G31" s="483"/>
      <c r="H31" s="483"/>
    </row>
    <row r="32" spans="1:19">
      <c r="A32" s="483"/>
      <c r="B32" s="483"/>
      <c r="C32" s="483"/>
      <c r="D32" s="483"/>
      <c r="E32" s="483"/>
      <c r="F32" s="483"/>
      <c r="G32" s="483"/>
      <c r="H32" s="483"/>
    </row>
    <row r="34" spans="1:8" ht="13.5" thickBot="1">
      <c r="H34" s="117">
        <f>SUM(H18:H33)</f>
        <v>20877.5</v>
      </c>
    </row>
    <row r="35" spans="1:8" ht="13.5" thickTop="1"/>
    <row r="36" spans="1:8" ht="20.100000000000001" customHeight="1">
      <c r="A36" s="118" t="s">
        <v>1133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Twenty Thousand Eight Hundred Seventy-Seven and 50/100 -----------</v>
      </c>
      <c r="C36" s="202"/>
      <c r="D36" s="119"/>
      <c r="E36" s="119"/>
      <c r="F36" s="119"/>
      <c r="G36" s="119"/>
      <c r="H36" s="119"/>
    </row>
    <row r="37" spans="1:8">
      <c r="A37" s="120" t="s">
        <v>11</v>
      </c>
    </row>
    <row r="38" spans="1:8" ht="25.5">
      <c r="A38" s="111" t="s">
        <v>10</v>
      </c>
      <c r="F38" s="265" t="s">
        <v>2894</v>
      </c>
      <c r="G38" s="266" t="s">
        <v>3298</v>
      </c>
      <c r="H38" s="267"/>
    </row>
    <row r="40" spans="1:8">
      <c r="A40" s="126"/>
    </row>
    <row r="41" spans="1:8">
      <c r="D41" s="121"/>
      <c r="E41" s="121"/>
    </row>
    <row r="42" spans="1:8">
      <c r="A42" s="122"/>
      <c r="B42" s="122"/>
    </row>
    <row r="44" spans="1:8">
      <c r="A44" s="123" t="s">
        <v>8</v>
      </c>
      <c r="D44" s="123" t="s">
        <v>8</v>
      </c>
      <c r="F44" s="123" t="s">
        <v>7</v>
      </c>
      <c r="H44" s="124"/>
    </row>
    <row r="48" spans="1:8">
      <c r="A48" s="122"/>
      <c r="B48" s="122"/>
      <c r="D48" s="122"/>
      <c r="F48" s="122"/>
      <c r="G48" s="122"/>
      <c r="H48" s="122"/>
    </row>
    <row r="49" spans="1:6" s="126" customFormat="1" ht="17.100000000000001" customHeight="1">
      <c r="A49" s="111" t="s">
        <v>2948</v>
      </c>
      <c r="B49" s="125"/>
      <c r="C49" s="125"/>
      <c r="D49" s="111" t="s">
        <v>103</v>
      </c>
      <c r="F49" s="126" t="s">
        <v>3</v>
      </c>
    </row>
    <row r="50" spans="1:6">
      <c r="F50" s="111" t="s">
        <v>2</v>
      </c>
    </row>
    <row r="51" spans="1:6">
      <c r="A51" s="151"/>
    </row>
    <row r="52" spans="1:6">
      <c r="F52" s="2" t="s">
        <v>1</v>
      </c>
    </row>
    <row r="53" spans="1:6">
      <c r="F53" s="2" t="s">
        <v>0</v>
      </c>
    </row>
  </sheetData>
  <mergeCells count="5">
    <mergeCell ref="A1:H1"/>
    <mergeCell ref="A2:H2"/>
    <mergeCell ref="A3:H3"/>
    <mergeCell ref="A4:H4"/>
    <mergeCell ref="D16:F16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EE7FA-BFFF-405F-821A-E7C3312BC84C}">
  <sheetPr codeName="Sheet543">
    <pageSetUpPr fitToPage="1"/>
  </sheetPr>
  <dimension ref="A1:Q53"/>
  <sheetViews>
    <sheetView topLeftCell="A7" zoomScaleNormal="100" workbookViewId="0">
      <selection activeCell="G9" sqref="G9:G13"/>
    </sheetView>
  </sheetViews>
  <sheetFormatPr defaultRowHeight="12.75"/>
  <cols>
    <col min="1" max="1" width="15.5703125" style="111" customWidth="1"/>
    <col min="2" max="2" width="11.85546875" style="111" customWidth="1"/>
    <col min="3" max="3" width="1" style="111" customWidth="1"/>
    <col min="4" max="4" width="21.5703125" style="111" customWidth="1"/>
    <col min="5" max="5" width="0.7109375" style="111" customWidth="1"/>
    <col min="6" max="6" width="16.42578125" style="111" customWidth="1"/>
    <col min="7" max="7" width="11.28515625" style="111" customWidth="1"/>
    <col min="8" max="8" width="13.28515625" style="111" customWidth="1"/>
    <col min="9" max="16384" width="9.140625" style="111"/>
  </cols>
  <sheetData>
    <row r="1" spans="1:17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7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7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7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7">
      <c r="A8" s="111" t="s">
        <v>24</v>
      </c>
      <c r="F8" s="22" t="s">
        <v>23</v>
      </c>
    </row>
    <row r="9" spans="1:17">
      <c r="F9" s="112" t="s">
        <v>1239</v>
      </c>
      <c r="G9" s="132" t="s">
        <v>5563</v>
      </c>
    </row>
    <row r="10" spans="1:17">
      <c r="A10" s="111" t="s">
        <v>5564</v>
      </c>
      <c r="F10" s="112" t="s">
        <v>1124</v>
      </c>
      <c r="G10" s="132" t="s">
        <v>5536</v>
      </c>
    </row>
    <row r="11" spans="1:17">
      <c r="A11" s="111" t="s">
        <v>5565</v>
      </c>
      <c r="F11" s="112" t="s">
        <v>1125</v>
      </c>
      <c r="G11" s="132" t="s">
        <v>1094</v>
      </c>
    </row>
    <row r="12" spans="1:17">
      <c r="A12" s="111" t="s">
        <v>5566</v>
      </c>
      <c r="F12" s="112" t="s">
        <v>1126</v>
      </c>
      <c r="G12" s="120" t="s">
        <v>1270</v>
      </c>
    </row>
    <row r="13" spans="1:17">
      <c r="F13" s="112"/>
    </row>
    <row r="15" spans="1:17">
      <c r="L15" s="111" t="s">
        <v>5558</v>
      </c>
      <c r="P15" s="111">
        <v>2184.6</v>
      </c>
    </row>
    <row r="16" spans="1:17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6" t="s">
        <v>13</v>
      </c>
      <c r="H16" s="128"/>
      <c r="L16" s="126" t="s">
        <v>5559</v>
      </c>
      <c r="M16" s="126"/>
      <c r="N16" s="126"/>
      <c r="O16" s="126"/>
      <c r="P16" s="126">
        <v>4637.3999999999996</v>
      </c>
      <c r="Q16" s="126"/>
    </row>
    <row r="17" spans="1:16">
      <c r="L17" s="111" t="s">
        <v>5560</v>
      </c>
      <c r="P17" s="111">
        <v>4019.08</v>
      </c>
    </row>
    <row r="18" spans="1:16">
      <c r="B18" s="116"/>
      <c r="C18" s="116"/>
      <c r="D18" s="2" t="s">
        <v>5567</v>
      </c>
      <c r="E18" s="2"/>
    </row>
    <row r="19" spans="1:16">
      <c r="A19" s="120"/>
      <c r="L19" s="111" t="s">
        <v>5561</v>
      </c>
      <c r="P19" s="111">
        <v>4000</v>
      </c>
    </row>
    <row r="20" spans="1:16">
      <c r="A20" s="116" t="s">
        <v>5568</v>
      </c>
      <c r="B20" s="116" t="s">
        <v>5569</v>
      </c>
      <c r="C20" s="116"/>
      <c r="D20" s="111" t="s">
        <v>5572</v>
      </c>
      <c r="H20" s="111">
        <f>200*4.7136</f>
        <v>942.71999999999991</v>
      </c>
    </row>
    <row r="21" spans="1:16">
      <c r="A21" s="116"/>
      <c r="B21" s="121"/>
      <c r="D21" s="111" t="s">
        <v>5571</v>
      </c>
      <c r="H21" s="111">
        <f>622*4.7136</f>
        <v>2931.8591999999999</v>
      </c>
      <c r="L21" s="111" t="s">
        <v>1814</v>
      </c>
      <c r="P21" s="111">
        <v>890.46</v>
      </c>
    </row>
    <row r="22" spans="1:16">
      <c r="A22" s="116"/>
      <c r="B22" s="121"/>
      <c r="C22" s="116"/>
      <c r="D22" s="111" t="s">
        <v>5570</v>
      </c>
      <c r="E22" s="314"/>
      <c r="H22" s="111">
        <f>1700*4.7136</f>
        <v>8013.119999999999</v>
      </c>
    </row>
    <row r="23" spans="1:16">
      <c r="A23" s="116"/>
      <c r="B23" s="121"/>
      <c r="D23" s="111" t="s">
        <v>5573</v>
      </c>
      <c r="H23" s="111">
        <f>479.18*4.7136</f>
        <v>2258.6628479999999</v>
      </c>
    </row>
    <row r="24" spans="1:16">
      <c r="A24" s="116"/>
      <c r="B24" s="121"/>
    </row>
    <row r="25" spans="1:16">
      <c r="A25" s="116"/>
      <c r="B25" s="121"/>
      <c r="D25" s="111" t="s">
        <v>5574</v>
      </c>
    </row>
    <row r="26" spans="1:16">
      <c r="A26" s="116"/>
      <c r="B26" s="121"/>
    </row>
    <row r="27" spans="1:16">
      <c r="A27" s="116"/>
      <c r="B27" s="121"/>
      <c r="D27" s="111" t="s">
        <v>1697</v>
      </c>
      <c r="E27" s="314"/>
      <c r="H27" s="111">
        <v>30</v>
      </c>
    </row>
    <row r="28" spans="1:16">
      <c r="A28" s="116"/>
      <c r="B28" s="116"/>
      <c r="C28" s="116"/>
    </row>
    <row r="30" spans="1:16">
      <c r="A30" s="116"/>
      <c r="B30" s="116"/>
      <c r="C30" s="116"/>
    </row>
    <row r="32" spans="1:16">
      <c r="A32" s="116"/>
      <c r="B32" s="121"/>
      <c r="C32" s="121"/>
    </row>
    <row r="33" spans="1:8">
      <c r="A33" s="116"/>
      <c r="B33" s="116"/>
      <c r="C33" s="116"/>
    </row>
    <row r="34" spans="1:8" ht="13.5" thickBot="1">
      <c r="H34" s="117">
        <f>SUM(H18:H32)</f>
        <v>14176.362047999999</v>
      </c>
    </row>
    <row r="35" spans="1:8" ht="13.5" thickTop="1"/>
    <row r="36" spans="1:8" ht="20.100000000000001" customHeight="1">
      <c r="A36" s="118" t="s">
        <v>5562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Fourteen Thousand One Hundred Seventy-Six and 36/100 -----------</v>
      </c>
      <c r="C36" s="202"/>
      <c r="D36" s="119"/>
      <c r="E36" s="119"/>
      <c r="F36" s="119"/>
      <c r="G36" s="119"/>
      <c r="H36" s="261"/>
    </row>
    <row r="37" spans="1:8">
      <c r="A37" s="120" t="s">
        <v>11</v>
      </c>
    </row>
    <row r="38" spans="1:8" ht="25.5">
      <c r="A38" s="111" t="s">
        <v>10</v>
      </c>
      <c r="F38" s="265" t="s">
        <v>2894</v>
      </c>
      <c r="G38" s="266"/>
      <c r="H38" s="267"/>
    </row>
    <row r="40" spans="1:8">
      <c r="F40" s="309"/>
      <c r="G40" s="309"/>
      <c r="H40" s="309"/>
    </row>
    <row r="41" spans="1:8">
      <c r="D41" s="121"/>
      <c r="E41" s="121"/>
      <c r="F41" s="310"/>
      <c r="G41" s="311"/>
      <c r="H41" s="311"/>
    </row>
    <row r="42" spans="1:8">
      <c r="A42" s="122"/>
      <c r="B42" s="122"/>
    </row>
    <row r="44" spans="1:8">
      <c r="A44" s="123" t="s">
        <v>8</v>
      </c>
      <c r="D44" s="123" t="s">
        <v>8</v>
      </c>
      <c r="F44" s="123" t="s">
        <v>7</v>
      </c>
      <c r="G44" s="124"/>
    </row>
    <row r="48" spans="1:8">
      <c r="B48" s="122"/>
      <c r="F48" s="122"/>
      <c r="G48" s="122"/>
      <c r="H48" s="122"/>
    </row>
    <row r="49" spans="1:6" s="126" customFormat="1" ht="17.100000000000001" customHeight="1">
      <c r="A49" s="316" t="s">
        <v>3441</v>
      </c>
      <c r="B49" s="125"/>
      <c r="C49" s="125"/>
      <c r="D49" s="316" t="s">
        <v>103</v>
      </c>
      <c r="F49" s="126" t="s">
        <v>3</v>
      </c>
    </row>
    <row r="50" spans="1:6">
      <c r="F50" s="111" t="s">
        <v>2</v>
      </c>
    </row>
    <row r="52" spans="1:6">
      <c r="F52" s="2" t="s">
        <v>1</v>
      </c>
    </row>
    <row r="53" spans="1:6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7E70-B614-41D3-8EE5-E52A786B7BFD}">
  <sheetPr codeName="Sheet548"/>
  <dimension ref="A1:I63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2.5703125" style="227" customWidth="1"/>
    <col min="3" max="3" width="1.42578125" style="227" customWidth="1"/>
    <col min="4" max="4" width="19.85546875" style="227" customWidth="1"/>
    <col min="5" max="5" width="0.85546875" style="227" customWidth="1"/>
    <col min="6" max="6" width="16.42578125" style="227" customWidth="1"/>
    <col min="7" max="7" width="11.42578125" style="227" customWidth="1"/>
    <col min="8" max="8" width="13.28515625" style="227" customWidth="1"/>
    <col min="9" max="9" width="16.140625" style="209" customWidth="1"/>
    <col min="10" max="11" width="9.140625" style="209"/>
    <col min="12" max="12" width="9.7109375" style="209" bestFit="1" customWidth="1"/>
    <col min="13" max="16384" width="9.140625" style="209"/>
  </cols>
  <sheetData>
    <row r="1" spans="1:9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9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9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9" ht="12.75" customHeight="1">
      <c r="A4" s="532" t="s">
        <v>1684</v>
      </c>
      <c r="B4" s="532"/>
      <c r="C4" s="532"/>
      <c r="D4" s="532"/>
      <c r="E4" s="532"/>
      <c r="F4" s="532"/>
      <c r="G4" s="532"/>
      <c r="H4" s="532"/>
    </row>
    <row r="5" spans="1:9" ht="12.75" hidden="1" customHeight="1">
      <c r="A5" s="131"/>
      <c r="B5" s="131"/>
      <c r="C5" s="131"/>
      <c r="D5" s="131"/>
      <c r="E5" s="131"/>
      <c r="F5" s="131"/>
      <c r="G5" s="131"/>
      <c r="H5" s="131"/>
    </row>
    <row r="6" spans="1:9" ht="12.75" hidden="1" customHeight="1">
      <c r="A6" s="131"/>
      <c r="B6" s="131"/>
      <c r="C6" s="131"/>
      <c r="D6" s="131"/>
      <c r="E6" s="131"/>
      <c r="F6" s="131"/>
      <c r="G6" s="131"/>
      <c r="H6" s="131"/>
    </row>
    <row r="7" spans="1:9" ht="12.75" customHeight="1">
      <c r="A7" s="131"/>
      <c r="B7" s="131"/>
      <c r="C7" s="131"/>
      <c r="D7" s="131"/>
      <c r="E7" s="131"/>
      <c r="F7" s="131"/>
      <c r="G7" s="131"/>
      <c r="H7" s="131"/>
    </row>
    <row r="8" spans="1:9" s="211" customFormat="1" ht="12.75" customHeight="1">
      <c r="A8" s="147" t="s">
        <v>24</v>
      </c>
      <c r="B8" s="147"/>
      <c r="C8" s="147"/>
      <c r="D8" s="147"/>
      <c r="E8" s="147"/>
      <c r="F8" s="210" t="s">
        <v>23</v>
      </c>
      <c r="G8" s="147"/>
      <c r="H8" s="147"/>
    </row>
    <row r="9" spans="1:9" s="211" customFormat="1" ht="12.75" customHeight="1">
      <c r="A9" s="147"/>
      <c r="B9" s="147"/>
      <c r="C9" s="147"/>
      <c r="D9" s="147"/>
      <c r="E9" s="147"/>
      <c r="F9" s="212" t="s">
        <v>1723</v>
      </c>
      <c r="G9" s="111" t="s">
        <v>5665</v>
      </c>
      <c r="H9" s="111"/>
    </row>
    <row r="10" spans="1:9" s="211" customFormat="1" ht="12.75" customHeight="1">
      <c r="A10" s="147" t="s">
        <v>3319</v>
      </c>
      <c r="B10" s="147"/>
      <c r="C10" s="147"/>
      <c r="D10" s="147"/>
      <c r="E10" s="147"/>
      <c r="F10" s="212" t="s">
        <v>1340</v>
      </c>
      <c r="G10" s="123" t="s">
        <v>5662</v>
      </c>
      <c r="H10" s="111"/>
    </row>
    <row r="11" spans="1:9" s="211" customFormat="1" ht="12.75" customHeight="1">
      <c r="A11" s="147" t="s">
        <v>3320</v>
      </c>
      <c r="B11" s="147"/>
      <c r="C11" s="147"/>
      <c r="D11" s="147"/>
      <c r="E11" s="147"/>
      <c r="F11" s="212" t="s">
        <v>1341</v>
      </c>
      <c r="G11" s="112" t="s">
        <v>1094</v>
      </c>
      <c r="H11" s="111"/>
    </row>
    <row r="12" spans="1:9" s="211" customFormat="1" ht="12.75" customHeight="1">
      <c r="A12" s="147" t="s">
        <v>2902</v>
      </c>
      <c r="B12" s="147"/>
      <c r="C12" s="147"/>
      <c r="D12" s="147"/>
      <c r="E12" s="147"/>
      <c r="F12" s="212" t="s">
        <v>2136</v>
      </c>
      <c r="G12" s="120" t="s">
        <v>5666</v>
      </c>
      <c r="H12" s="111"/>
    </row>
    <row r="13" spans="1:9" s="211" customFormat="1" ht="12.75" customHeight="1">
      <c r="A13" s="147" t="s">
        <v>1287</v>
      </c>
      <c r="B13" s="147"/>
      <c r="C13" s="147"/>
      <c r="D13" s="147"/>
      <c r="E13" s="147"/>
      <c r="F13" s="147"/>
      <c r="G13" s="111"/>
      <c r="H13" s="147"/>
    </row>
    <row r="14" spans="1:9" s="211" customFormat="1" ht="12.75" customHeight="1">
      <c r="A14" s="147" t="s">
        <v>3321</v>
      </c>
      <c r="B14" s="147"/>
      <c r="C14" s="147"/>
      <c r="D14" s="147"/>
      <c r="E14" s="147"/>
      <c r="F14" s="147"/>
      <c r="G14" s="147"/>
      <c r="H14" s="147"/>
    </row>
    <row r="15" spans="1:9" s="213" customFormat="1" ht="12.75" customHeight="1">
      <c r="A15" s="147"/>
      <c r="B15" s="147"/>
      <c r="C15" s="147"/>
      <c r="D15" s="147"/>
      <c r="E15" s="147"/>
      <c r="F15" s="147"/>
      <c r="G15" s="147"/>
      <c r="H15" s="147"/>
    </row>
    <row r="16" spans="1:9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I16" s="214"/>
    </row>
    <row r="17" spans="1:9" s="213" customFormat="1" ht="12.75" customHeight="1">
      <c r="A17" s="215"/>
      <c r="B17" s="216"/>
      <c r="C17" s="216"/>
      <c r="D17" s="217"/>
      <c r="E17" s="217"/>
      <c r="F17" s="216"/>
      <c r="G17" s="218"/>
      <c r="H17" s="219"/>
      <c r="I17" s="214"/>
    </row>
    <row r="18" spans="1:9" s="213" customFormat="1" ht="12.75" customHeight="1">
      <c r="A18" s="222"/>
      <c r="B18" s="281"/>
      <c r="C18" s="281"/>
      <c r="D18" s="319" t="s">
        <v>3650</v>
      </c>
      <c r="E18" s="145"/>
      <c r="F18" s="145"/>
      <c r="G18" s="145"/>
      <c r="H18" s="320"/>
      <c r="I18" s="318"/>
    </row>
    <row r="19" spans="1:9" s="213" customFormat="1" ht="12.75" customHeight="1">
      <c r="A19" s="222"/>
      <c r="B19" s="281"/>
      <c r="C19" s="281"/>
      <c r="D19" s="145"/>
      <c r="E19" s="145"/>
      <c r="F19" s="145"/>
      <c r="G19" s="145"/>
      <c r="H19" s="320"/>
      <c r="I19" s="318"/>
    </row>
    <row r="20" spans="1:9" s="213" customFormat="1" ht="12.75" customHeight="1">
      <c r="A20" s="158" t="s">
        <v>5655</v>
      </c>
      <c r="B20" s="281" t="s">
        <v>5667</v>
      </c>
      <c r="C20" s="281"/>
      <c r="D20" s="145" t="s">
        <v>5668</v>
      </c>
      <c r="E20" s="145"/>
      <c r="F20" s="145"/>
      <c r="G20" s="145"/>
      <c r="H20" s="320">
        <v>24</v>
      </c>
      <c r="I20" s="318"/>
    </row>
    <row r="21" spans="1:9" s="213" customFormat="1" ht="12.75" customHeight="1">
      <c r="A21" s="222"/>
      <c r="B21" s="281"/>
      <c r="C21" s="281"/>
      <c r="D21" s="145" t="s">
        <v>5669</v>
      </c>
      <c r="E21" s="145"/>
      <c r="F21" s="145"/>
      <c r="G21" s="145"/>
      <c r="H21" s="320">
        <v>100</v>
      </c>
      <c r="I21" s="318"/>
    </row>
    <row r="22" spans="1:9" s="213" customFormat="1" ht="12.75" customHeight="1">
      <c r="A22" s="158"/>
      <c r="B22" s="281"/>
      <c r="C22" s="281"/>
      <c r="D22" s="145" t="s">
        <v>5670</v>
      </c>
      <c r="E22" s="145"/>
      <c r="F22" s="145"/>
      <c r="G22" s="145"/>
      <c r="H22" s="320"/>
      <c r="I22" s="318"/>
    </row>
    <row r="23" spans="1:9" s="227" customFormat="1" ht="12.75" customHeight="1">
      <c r="A23" s="222"/>
      <c r="B23" s="281"/>
      <c r="C23" s="281"/>
      <c r="D23" s="145" t="s">
        <v>5671</v>
      </c>
      <c r="E23" s="145"/>
      <c r="F23" s="145"/>
      <c r="G23" s="145"/>
      <c r="H23" s="320">
        <v>100</v>
      </c>
    </row>
    <row r="24" spans="1:9" s="227" customFormat="1" ht="12.75" customHeight="1">
      <c r="A24" s="222"/>
      <c r="B24" s="281"/>
      <c r="C24" s="281"/>
      <c r="D24" s="145" t="s">
        <v>5672</v>
      </c>
      <c r="E24" s="145"/>
      <c r="F24" s="145"/>
      <c r="G24" s="145"/>
      <c r="H24" s="320">
        <v>30</v>
      </c>
    </row>
    <row r="25" spans="1:9" s="227" customFormat="1" ht="12.75" customHeight="1">
      <c r="A25" s="222"/>
      <c r="B25" s="281"/>
      <c r="C25" s="281"/>
      <c r="D25" s="145"/>
      <c r="E25" s="145"/>
      <c r="F25" s="145"/>
      <c r="G25" s="145"/>
      <c r="H25" s="320"/>
    </row>
    <row r="26" spans="1:9" s="227" customFormat="1" ht="12.75" customHeight="1">
      <c r="A26" s="222"/>
      <c r="B26" s="281"/>
      <c r="C26" s="281"/>
      <c r="D26" s="319"/>
      <c r="E26" s="145"/>
      <c r="F26" s="145"/>
      <c r="G26" s="145"/>
      <c r="H26" s="320"/>
    </row>
    <row r="27" spans="1:9" s="227" customFormat="1" ht="12.75" customHeight="1">
      <c r="A27" s="222"/>
      <c r="B27" s="281"/>
      <c r="C27" s="281"/>
      <c r="D27" s="145"/>
      <c r="E27" s="145"/>
      <c r="F27" s="145"/>
      <c r="G27" s="145"/>
      <c r="H27" s="320"/>
    </row>
    <row r="28" spans="1:9" s="227" customFormat="1" ht="12.75" customHeight="1">
      <c r="A28" s="222"/>
      <c r="B28" s="281"/>
      <c r="C28" s="281"/>
      <c r="D28" s="145"/>
      <c r="E28" s="145"/>
      <c r="F28" s="145"/>
      <c r="G28" s="145"/>
      <c r="H28" s="320"/>
    </row>
    <row r="29" spans="1:9" s="227" customFormat="1" ht="12.75" customHeight="1">
      <c r="A29" s="222"/>
      <c r="B29" s="281"/>
      <c r="C29" s="281"/>
      <c r="D29" s="145"/>
      <c r="E29" s="145"/>
      <c r="F29" s="145"/>
      <c r="G29" s="145"/>
      <c r="H29" s="320"/>
    </row>
    <row r="30" spans="1:9" s="227" customFormat="1" ht="12.75" customHeight="1">
      <c r="A30" s="222"/>
      <c r="B30" s="281"/>
      <c r="C30" s="281"/>
      <c r="D30" s="319"/>
      <c r="E30" s="145"/>
      <c r="F30" s="145"/>
      <c r="G30" s="145"/>
      <c r="H30" s="320"/>
    </row>
    <row r="31" spans="1:9" s="227" customFormat="1" ht="12.75" customHeight="1">
      <c r="A31" s="158"/>
      <c r="B31" s="281"/>
      <c r="C31" s="281"/>
      <c r="D31" s="145"/>
      <c r="E31" s="145"/>
      <c r="F31" s="145"/>
      <c r="G31" s="145"/>
      <c r="H31" s="320"/>
    </row>
    <row r="32" spans="1:9" s="227" customFormat="1" ht="12.75" customHeight="1">
      <c r="A32" s="222"/>
      <c r="B32" s="281"/>
      <c r="C32" s="281"/>
      <c r="D32" s="145"/>
      <c r="E32" s="145"/>
      <c r="F32" s="145"/>
      <c r="G32" s="145"/>
      <c r="H32" s="320"/>
    </row>
    <row r="33" spans="1:9" s="227" customFormat="1" ht="12.75" customHeight="1">
      <c r="A33" s="222"/>
      <c r="B33" s="281"/>
      <c r="C33" s="281"/>
      <c r="D33" s="319"/>
      <c r="E33" s="145"/>
      <c r="F33" s="145"/>
      <c r="G33" s="145"/>
      <c r="H33" s="320"/>
    </row>
    <row r="34" spans="1:9" s="227" customFormat="1" ht="12.75" customHeight="1">
      <c r="A34" s="222"/>
      <c r="B34" s="281"/>
      <c r="C34" s="281"/>
      <c r="D34" s="145"/>
      <c r="E34" s="145"/>
      <c r="F34" s="145"/>
      <c r="G34" s="145"/>
      <c r="H34" s="320"/>
    </row>
    <row r="35" spans="1:9" s="227" customFormat="1" ht="12.75" customHeight="1">
      <c r="A35" s="222"/>
      <c r="B35" s="281"/>
      <c r="C35" s="281"/>
      <c r="D35" s="145"/>
      <c r="E35" s="145"/>
      <c r="F35" s="145"/>
      <c r="G35" s="145"/>
      <c r="H35" s="320"/>
    </row>
    <row r="36" spans="1:9" s="227" customFormat="1" ht="15.75" customHeight="1">
      <c r="A36" s="222"/>
      <c r="B36" s="281"/>
      <c r="C36" s="281"/>
      <c r="D36" s="145"/>
      <c r="E36" s="145"/>
      <c r="F36" s="145"/>
      <c r="G36" s="145"/>
      <c r="H36" s="320"/>
    </row>
    <row r="37" spans="1:9" s="227" customFormat="1" ht="12.75" customHeight="1">
      <c r="A37" s="222"/>
      <c r="B37" s="281"/>
      <c r="C37" s="281"/>
      <c r="D37" s="145"/>
      <c r="E37" s="145"/>
      <c r="F37" s="145"/>
      <c r="G37" s="145"/>
      <c r="H37" s="320"/>
    </row>
    <row r="38" spans="1:9" s="211" customFormat="1" ht="15.75" customHeight="1" thickBot="1">
      <c r="A38" s="229"/>
      <c r="B38" s="224"/>
      <c r="C38" s="224"/>
      <c r="D38" s="224"/>
      <c r="E38" s="224"/>
      <c r="F38" s="224"/>
      <c r="G38" s="224"/>
      <c r="H38" s="230">
        <f>SUM(H18:H37)</f>
        <v>254</v>
      </c>
      <c r="I38" s="221"/>
    </row>
    <row r="39" spans="1:9" s="211" customFormat="1" ht="12.75" customHeight="1" thickTop="1">
      <c r="A39" s="229"/>
      <c r="B39" s="224"/>
      <c r="C39" s="224"/>
      <c r="D39" s="224"/>
      <c r="E39" s="224"/>
      <c r="F39" s="224"/>
      <c r="G39" s="224"/>
      <c r="H39" s="224"/>
      <c r="I39" s="221"/>
    </row>
    <row r="40" spans="1:9" ht="20.100000000000001" customHeight="1">
      <c r="A40" s="138" t="s">
        <v>1133</v>
      </c>
      <c r="B40" s="204" t="str">
        <f>IF(OR(H38&gt;1000000,H38&lt;=0),"",IF(H38&lt;1000,"",IF(MOD(H38,1000000)&gt;=100000,INDEX(numbers,TRUNC(MOD(H38,1000000)/100000,0)+1)&amp;" Hundred","")&amp;IF(MOD(H38,100000)&gt;=20000," "&amp;INDEX(tens,TRUNC(MOD(H38,100000)/10000,0)+1)&amp;IF(MOD(MOD(H38,100000),10000)&gt;=1000,"-"&amp;INDEX(numbers,TRUNC(MOD(MOD(H38,100000),10000)/1000,0)+1),""),IF(MOD(H38,100000)&gt;=1000," "&amp;INDEX(numbers,TRUNC(MOD(H38,100000)/1000,0)+1),""))&amp;" Thousand") &amp; IF(H38&lt;1,"Zero Dollars",IF(MOD(H38,1000)&gt;=100," "&amp;INDEX(numbers,TRUNC(MOD(H38,1000)/100,0)+1)&amp;" Hundred","")&amp;IF(MOD(H38,100)&gt;=20," "&amp;INDEX(tens,TRUNC(MOD(H38,100)/10,0)+1)&amp;IF(MOD(MOD(H38,100),10)&gt;=1,"-"&amp;INDEX(numbers,TRUNC(MOD(MOD(H38,100),10),0)+1),""),IF(MOD(H38,100)&gt;=1," "&amp;INDEX(numbers,TRUNC(MOD(H38,100),0)+1),""))&amp;"") &amp; " and " &amp; IF(MOD(H38,1)&lt;0.005,"NO",ROUND(MOD(H38,1)*100,0)) &amp; "/100 -----------")</f>
        <v xml:space="preserve"> Two Hundred Fifty-Four and NO/100 -----------</v>
      </c>
      <c r="C40" s="204"/>
      <c r="D40" s="231"/>
      <c r="E40" s="231"/>
      <c r="F40" s="231"/>
      <c r="G40" s="231"/>
      <c r="H40" s="231"/>
    </row>
    <row r="41" spans="1:9" ht="12.75" customHeight="1">
      <c r="A41" s="232"/>
    </row>
    <row r="42" spans="1:9" ht="27" customHeight="1">
      <c r="A42" s="131" t="s">
        <v>10</v>
      </c>
      <c r="B42" s="131"/>
      <c r="C42" s="131"/>
      <c r="D42" s="131"/>
      <c r="E42" s="131"/>
      <c r="F42" s="283" t="s">
        <v>2894</v>
      </c>
      <c r="G42" s="284"/>
      <c r="H42" s="285"/>
    </row>
    <row r="43" spans="1:9" ht="12.75" customHeight="1">
      <c r="A43" s="131"/>
      <c r="B43" s="131"/>
      <c r="C43" s="131"/>
      <c r="D43" s="131"/>
      <c r="E43" s="131"/>
      <c r="F43" s="131"/>
      <c r="G43" s="131"/>
      <c r="H43" s="131"/>
    </row>
    <row r="44" spans="1:9" ht="12.75" customHeight="1">
      <c r="A44" s="131"/>
      <c r="B44" s="131"/>
      <c r="C44" s="131"/>
      <c r="D44" s="131"/>
      <c r="E44" s="131"/>
      <c r="F44" s="131"/>
      <c r="G44" s="131"/>
      <c r="H44" s="131"/>
    </row>
    <row r="45" spans="1:9">
      <c r="A45" s="301"/>
      <c r="B45" s="131"/>
      <c r="C45" s="131"/>
      <c r="D45" s="131"/>
      <c r="E45" s="131"/>
      <c r="F45" s="291"/>
      <c r="G45" s="291"/>
      <c r="H45" s="291"/>
    </row>
    <row r="46" spans="1:9">
      <c r="A46" s="248"/>
      <c r="B46" s="142"/>
      <c r="C46" s="131"/>
      <c r="D46" s="131"/>
      <c r="E46" s="131"/>
      <c r="F46" s="286"/>
      <c r="G46" s="287"/>
      <c r="H46" s="287"/>
    </row>
    <row r="47" spans="1:9" ht="12.75" customHeight="1">
      <c r="A47" s="301"/>
      <c r="B47" s="301"/>
      <c r="C47" s="301"/>
      <c r="D47" s="131"/>
      <c r="E47" s="131"/>
      <c r="F47" s="131"/>
      <c r="G47" s="131"/>
      <c r="H47" s="144"/>
    </row>
    <row r="48" spans="1:9" ht="12.75" customHeight="1">
      <c r="A48" s="301"/>
      <c r="B48" s="301"/>
      <c r="C48" s="301"/>
      <c r="D48" s="301"/>
      <c r="E48" s="131"/>
      <c r="F48" s="131"/>
      <c r="G48" s="131"/>
      <c r="H48" s="144"/>
    </row>
    <row r="49" spans="1:8" ht="12.75" customHeight="1">
      <c r="A49" s="143" t="s">
        <v>8</v>
      </c>
      <c r="B49" s="131"/>
      <c r="C49" s="131"/>
      <c r="D49" s="143"/>
      <c r="E49" s="131"/>
      <c r="F49" s="131"/>
      <c r="G49" s="131"/>
      <c r="H49" s="131"/>
    </row>
    <row r="50" spans="1:8" ht="12.75" customHeight="1">
      <c r="A50" s="301"/>
      <c r="B50" s="131"/>
      <c r="C50" s="131"/>
      <c r="D50" s="301"/>
      <c r="E50" s="131"/>
      <c r="F50" s="143" t="s">
        <v>7</v>
      </c>
      <c r="G50" s="131"/>
      <c r="H50" s="131"/>
    </row>
    <row r="51" spans="1:8" ht="12.75" customHeight="1">
      <c r="A51" s="143"/>
      <c r="B51" s="131"/>
      <c r="C51" s="131"/>
      <c r="D51" s="143"/>
      <c r="E51" s="131"/>
      <c r="F51" s="131"/>
      <c r="G51" s="131"/>
      <c r="H51" s="131"/>
    </row>
    <row r="52" spans="1:8" ht="12.75" customHeight="1">
      <c r="A52" s="143"/>
      <c r="B52" s="131"/>
      <c r="C52" s="131"/>
      <c r="D52" s="143"/>
      <c r="E52" s="131"/>
      <c r="F52" s="131"/>
      <c r="G52" s="131"/>
      <c r="H52" s="131"/>
    </row>
    <row r="53" spans="1:8" s="211" customFormat="1" ht="12.75" customHeight="1">
      <c r="A53" s="143"/>
      <c r="B53" s="131"/>
      <c r="C53" s="131"/>
      <c r="D53" s="143"/>
      <c r="E53" s="131"/>
      <c r="F53" s="131"/>
      <c r="G53" s="147"/>
      <c r="H53" s="147"/>
    </row>
    <row r="54" spans="1:8" ht="12.75" customHeight="1">
      <c r="A54" s="248"/>
      <c r="B54" s="142"/>
      <c r="C54" s="131"/>
      <c r="D54" s="143"/>
      <c r="E54" s="131"/>
      <c r="F54" s="142"/>
      <c r="G54" s="142"/>
      <c r="H54" s="142"/>
    </row>
    <row r="55" spans="1:8" ht="15" customHeight="1">
      <c r="A55" s="143" t="s">
        <v>2948</v>
      </c>
      <c r="B55" s="146"/>
      <c r="C55" s="146"/>
      <c r="D55" s="143"/>
      <c r="E55" s="147"/>
      <c r="F55" s="147" t="s">
        <v>3</v>
      </c>
      <c r="G55" s="131"/>
      <c r="H55" s="131"/>
    </row>
    <row r="56" spans="1:8" ht="12.75" customHeight="1">
      <c r="A56" s="143"/>
      <c r="B56" s="131"/>
      <c r="C56" s="131"/>
      <c r="D56" s="131"/>
      <c r="E56" s="131"/>
      <c r="F56" s="131" t="s">
        <v>2</v>
      </c>
      <c r="G56" s="131"/>
      <c r="H56" s="131"/>
    </row>
    <row r="57" spans="1:8" ht="12.75" customHeight="1">
      <c r="A57" s="131"/>
      <c r="B57" s="131"/>
      <c r="C57" s="131"/>
      <c r="D57" s="131"/>
      <c r="E57" s="131"/>
      <c r="F57" s="131"/>
      <c r="G57" s="131"/>
      <c r="H57" s="131"/>
    </row>
    <row r="58" spans="1:8" ht="12.75" customHeight="1">
      <c r="A58" s="131"/>
      <c r="B58" s="131"/>
      <c r="C58" s="131"/>
      <c r="D58" s="131"/>
      <c r="E58" s="131"/>
      <c r="F58" s="110" t="s">
        <v>1</v>
      </c>
      <c r="G58" s="131"/>
      <c r="H58" s="131"/>
    </row>
    <row r="59" spans="1:8" ht="12.75" customHeight="1">
      <c r="A59" s="131"/>
      <c r="B59" s="131"/>
      <c r="C59" s="131"/>
      <c r="D59" s="131"/>
      <c r="E59" s="131"/>
      <c r="F59" s="110" t="s">
        <v>0</v>
      </c>
      <c r="G59" s="131"/>
      <c r="H59" s="131"/>
    </row>
    <row r="60" spans="1:8" ht="12.75" customHeight="1">
      <c r="A60" s="131"/>
      <c r="B60" s="131"/>
      <c r="C60" s="131"/>
      <c r="D60" s="131"/>
      <c r="E60" s="131"/>
      <c r="F60" s="131"/>
      <c r="G60" s="131"/>
      <c r="H60" s="131"/>
    </row>
    <row r="61" spans="1:8" ht="12.75" customHeight="1">
      <c r="A61" s="131"/>
      <c r="B61" s="131"/>
      <c r="C61" s="131"/>
      <c r="D61" s="131"/>
      <c r="E61" s="131"/>
      <c r="F61" s="131"/>
      <c r="G61" s="131"/>
      <c r="H61" s="131"/>
    </row>
    <row r="62" spans="1:8">
      <c r="A62" s="131"/>
      <c r="B62" s="131"/>
      <c r="C62" s="131"/>
      <c r="D62" s="131"/>
      <c r="E62" s="131"/>
      <c r="F62" s="131"/>
      <c r="G62" s="131"/>
      <c r="H62" s="131"/>
    </row>
    <row r="63" spans="1:8">
      <c r="A63" s="131"/>
      <c r="B63" s="131"/>
      <c r="C63" s="131"/>
      <c r="D63" s="131"/>
      <c r="E63" s="131"/>
      <c r="F63" s="131"/>
      <c r="G63" s="131"/>
      <c r="H63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90" orientation="portrait" r:id="rId1"/>
  <headerFooter alignWithMargins="0">
    <oddFooter>Page &amp;P of &amp;N</oddFooter>
  </headerFooter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B3398-4139-43C7-816C-C036CA6EF74D}">
  <sheetPr codeName="Sheet567">
    <pageSetUpPr fitToPage="1"/>
  </sheetPr>
  <dimension ref="A1:H52"/>
  <sheetViews>
    <sheetView workbookViewId="0">
      <selection activeCell="G9" sqref="G9:G13"/>
    </sheetView>
  </sheetViews>
  <sheetFormatPr defaultRowHeight="12.75"/>
  <cols>
    <col min="1" max="1" width="15.42578125" style="111" customWidth="1"/>
    <col min="2" max="2" width="15" style="111" customWidth="1"/>
    <col min="3" max="3" width="0.7109375" style="111" customWidth="1"/>
    <col min="4" max="4" width="21" style="111" customWidth="1"/>
    <col min="5" max="5" width="0.42578125" style="111" customWidth="1"/>
    <col min="6" max="6" width="12.28515625" style="111" customWidth="1"/>
    <col min="7" max="7" width="9.28515625" style="111" customWidth="1"/>
    <col min="8" max="8" width="13.28515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1716</v>
      </c>
      <c r="G9" s="111" t="s">
        <v>5967</v>
      </c>
    </row>
    <row r="10" spans="1:8">
      <c r="A10" s="111" t="s">
        <v>5933</v>
      </c>
      <c r="F10" s="112" t="s">
        <v>1162</v>
      </c>
      <c r="G10" s="112" t="s">
        <v>5944</v>
      </c>
    </row>
    <row r="11" spans="1:8">
      <c r="A11" s="111" t="s">
        <v>5934</v>
      </c>
      <c r="F11" s="112" t="s">
        <v>1163</v>
      </c>
      <c r="G11" s="112" t="s">
        <v>1094</v>
      </c>
    </row>
    <row r="12" spans="1:8">
      <c r="A12" s="111" t="s">
        <v>5935</v>
      </c>
      <c r="F12" s="112" t="s">
        <v>1096</v>
      </c>
      <c r="G12" s="112" t="s">
        <v>1270</v>
      </c>
    </row>
    <row r="13" spans="1:8">
      <c r="A13" s="111" t="s">
        <v>5936</v>
      </c>
    </row>
    <row r="16" spans="1:8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6022</v>
      </c>
      <c r="E18" s="2"/>
    </row>
    <row r="19" spans="1:8">
      <c r="A19" s="116"/>
      <c r="B19" s="116"/>
      <c r="C19" s="116"/>
    </row>
    <row r="20" spans="1:8">
      <c r="A20" s="116" t="s">
        <v>6023</v>
      </c>
      <c r="B20" s="116" t="s">
        <v>6024</v>
      </c>
      <c r="C20" s="116"/>
      <c r="D20" s="111" t="s">
        <v>6025</v>
      </c>
      <c r="H20" s="111">
        <v>51785.599999999999</v>
      </c>
    </row>
    <row r="21" spans="1:8">
      <c r="D21" s="111" t="s">
        <v>6026</v>
      </c>
      <c r="H21" s="111">
        <v>8035.71</v>
      </c>
    </row>
    <row r="23" spans="1:8">
      <c r="D23" s="111" t="s">
        <v>1697</v>
      </c>
      <c r="H23" s="111">
        <v>20</v>
      </c>
    </row>
    <row r="29" spans="1:8">
      <c r="H29" s="2"/>
    </row>
    <row r="30" spans="1:8">
      <c r="B30" s="120"/>
      <c r="C30" s="120"/>
    </row>
    <row r="31" spans="1:8">
      <c r="B31" s="120"/>
      <c r="C31" s="120"/>
    </row>
    <row r="33" spans="1:8" ht="13.5" thickBot="1">
      <c r="H33" s="127">
        <f>SUM(H18:H32)</f>
        <v>59841.31</v>
      </c>
    </row>
    <row r="34" spans="1:8" ht="13.5" thickTop="1"/>
    <row r="35" spans="1:8" ht="20.100000000000001" customHeight="1">
      <c r="A35" s="118" t="s">
        <v>1717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Fifty-Nine Thousand Eight Hundred Forty-One and 31/100 -----------</v>
      </c>
      <c r="C35" s="202"/>
      <c r="D35" s="119"/>
      <c r="E35" s="119"/>
      <c r="F35" s="119"/>
      <c r="G35" s="119"/>
      <c r="H35" s="261"/>
    </row>
    <row r="36" spans="1:8">
      <c r="A36" s="120"/>
    </row>
    <row r="37" spans="1:8" ht="25.5">
      <c r="A37" s="123" t="s">
        <v>10</v>
      </c>
      <c r="F37" s="265" t="s">
        <v>2894</v>
      </c>
      <c r="G37" s="266"/>
      <c r="H37" s="267"/>
    </row>
    <row r="38" spans="1:8">
      <c r="A38" s="123"/>
    </row>
    <row r="39" spans="1:8">
      <c r="A39" s="126"/>
    </row>
    <row r="40" spans="1:8">
      <c r="A40" s="123"/>
      <c r="D40" s="121"/>
      <c r="E40" s="121"/>
    </row>
    <row r="41" spans="1:8">
      <c r="A41" s="150"/>
      <c r="B41" s="122"/>
      <c r="C41" s="433"/>
    </row>
    <row r="42" spans="1:8">
      <c r="A42" s="123"/>
    </row>
    <row r="43" spans="1:8">
      <c r="A43" s="123" t="s">
        <v>8</v>
      </c>
      <c r="D43" s="123" t="s">
        <v>8</v>
      </c>
      <c r="F43" s="123" t="s">
        <v>7</v>
      </c>
      <c r="H43" s="124"/>
    </row>
    <row r="44" spans="1:8">
      <c r="A44" s="123"/>
      <c r="D44" s="123"/>
    </row>
    <row r="45" spans="1:8">
      <c r="A45" s="123"/>
      <c r="D45" s="123"/>
    </row>
    <row r="46" spans="1:8">
      <c r="A46" s="123"/>
      <c r="D46" s="123"/>
    </row>
    <row r="47" spans="1:8">
      <c r="A47" s="150"/>
      <c r="B47" s="122"/>
      <c r="C47" s="433"/>
      <c r="D47" s="150"/>
      <c r="F47" s="122"/>
      <c r="G47" s="122"/>
      <c r="H47" s="122"/>
    </row>
    <row r="48" spans="1:8" s="126" customFormat="1" ht="17.100000000000001" customHeight="1">
      <c r="A48" s="151" t="s">
        <v>2948</v>
      </c>
      <c r="B48" s="125"/>
      <c r="C48" s="125"/>
      <c r="D48" s="151" t="s">
        <v>103</v>
      </c>
      <c r="F48" s="126" t="s">
        <v>3</v>
      </c>
    </row>
    <row r="49" spans="1:6">
      <c r="A49" s="123"/>
      <c r="F49" s="111" t="s">
        <v>2</v>
      </c>
    </row>
    <row r="50" spans="1:6">
      <c r="A50" s="151"/>
    </row>
    <row r="51" spans="1:6">
      <c r="F51" s="2" t="s">
        <v>1</v>
      </c>
    </row>
    <row r="52" spans="1:6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0F2B-7DD2-4ACA-8127-422F3EDC3BF0}">
  <sheetPr codeName="Sheet581">
    <pageSetUpPr fitToPage="1"/>
  </sheetPr>
  <dimension ref="A1:N54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85546875" style="111" customWidth="1"/>
    <col min="2" max="2" width="15.42578125" style="111" customWidth="1"/>
    <col min="3" max="3" width="1.28515625" style="111" customWidth="1"/>
    <col min="4" max="4" width="23" style="111" customWidth="1"/>
    <col min="5" max="5" width="0.85546875" style="111" customWidth="1"/>
    <col min="6" max="6" width="12" style="111" customWidth="1"/>
    <col min="7" max="7" width="9.7109375" style="111" customWidth="1"/>
    <col min="8" max="8" width="13.140625" style="111" customWidth="1"/>
    <col min="9" max="16384" width="9.140625" style="111"/>
  </cols>
  <sheetData>
    <row r="1" spans="1:14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4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4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4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4">
      <c r="A8" s="111" t="s">
        <v>24</v>
      </c>
      <c r="F8" s="22" t="s">
        <v>23</v>
      </c>
    </row>
    <row r="9" spans="1:14">
      <c r="F9" s="112" t="s">
        <v>1239</v>
      </c>
      <c r="G9" s="111" t="s">
        <v>5999</v>
      </c>
    </row>
    <row r="10" spans="1:14">
      <c r="A10" s="111" t="s">
        <v>6001</v>
      </c>
      <c r="F10" s="112" t="s">
        <v>1124</v>
      </c>
      <c r="G10" s="111" t="s">
        <v>5989</v>
      </c>
      <c r="K10" s="111" t="s">
        <v>5999</v>
      </c>
      <c r="L10" s="111">
        <v>43732</v>
      </c>
      <c r="N10" s="111" t="s">
        <v>6000</v>
      </c>
    </row>
    <row r="11" spans="1:14">
      <c r="A11" s="111" t="s">
        <v>6002</v>
      </c>
      <c r="F11" s="112" t="s">
        <v>1125</v>
      </c>
      <c r="G11" s="111" t="s">
        <v>1094</v>
      </c>
    </row>
    <row r="12" spans="1:14">
      <c r="A12" s="111" t="s">
        <v>6003</v>
      </c>
      <c r="F12" s="112" t="s">
        <v>1096</v>
      </c>
      <c r="G12" s="111" t="s">
        <v>6000</v>
      </c>
    </row>
    <row r="13" spans="1:14">
      <c r="A13" s="111" t="s">
        <v>1588</v>
      </c>
      <c r="G13" s="131" t="s">
        <v>5775</v>
      </c>
    </row>
    <row r="14" spans="1:14">
      <c r="A14" s="111" t="s">
        <v>3420</v>
      </c>
      <c r="K14" s="111" t="s">
        <v>5017</v>
      </c>
      <c r="N14" s="111">
        <v>300</v>
      </c>
    </row>
    <row r="15" spans="1:14">
      <c r="K15" s="111" t="s">
        <v>5018</v>
      </c>
    </row>
    <row r="16" spans="1:14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  <c r="K16" s="111" t="s">
        <v>5022</v>
      </c>
      <c r="L16" s="111"/>
      <c r="M16" s="111"/>
      <c r="N16" s="111"/>
    </row>
    <row r="17" spans="1:14">
      <c r="A17" s="153"/>
    </row>
    <row r="18" spans="1:14">
      <c r="A18" s="116"/>
      <c r="B18" s="116"/>
      <c r="C18" s="116"/>
      <c r="D18" s="2" t="s">
        <v>6004</v>
      </c>
      <c r="K18" s="111" t="s">
        <v>5019</v>
      </c>
      <c r="N18" s="111">
        <v>700</v>
      </c>
    </row>
    <row r="19" spans="1:14">
      <c r="K19" s="111" t="s">
        <v>5020</v>
      </c>
    </row>
    <row r="20" spans="1:14">
      <c r="A20" s="116" t="s">
        <v>6005</v>
      </c>
      <c r="B20" s="116" t="s">
        <v>6006</v>
      </c>
      <c r="C20" s="116"/>
      <c r="D20" s="111" t="s">
        <v>6007</v>
      </c>
      <c r="H20" s="111">
        <v>15000</v>
      </c>
    </row>
    <row r="21" spans="1:14">
      <c r="D21" s="111" t="s">
        <v>5175</v>
      </c>
      <c r="H21" s="111">
        <f>H20*6%</f>
        <v>900</v>
      </c>
      <c r="K21" s="111" t="s">
        <v>5021</v>
      </c>
      <c r="N21" s="111">
        <v>80</v>
      </c>
    </row>
    <row r="23" spans="1:14">
      <c r="A23" s="116" t="s">
        <v>6005</v>
      </c>
      <c r="B23" s="116" t="s">
        <v>6008</v>
      </c>
      <c r="C23" s="116"/>
      <c r="D23" s="111" t="s">
        <v>6009</v>
      </c>
      <c r="H23" s="111">
        <v>19200</v>
      </c>
    </row>
    <row r="24" spans="1:14">
      <c r="D24" s="111" t="s">
        <v>5175</v>
      </c>
      <c r="H24" s="111">
        <f>H23*6%</f>
        <v>1152</v>
      </c>
    </row>
    <row r="25" spans="1:14">
      <c r="A25" s="116"/>
      <c r="B25" s="116"/>
      <c r="C25" s="116"/>
    </row>
    <row r="26" spans="1:14">
      <c r="A26" s="116"/>
      <c r="B26" s="116"/>
      <c r="C26" s="116"/>
      <c r="D26" s="167" t="s">
        <v>6010</v>
      </c>
      <c r="H26" s="111">
        <v>-15529</v>
      </c>
    </row>
    <row r="27" spans="1:14">
      <c r="A27" s="116"/>
      <c r="B27" s="116"/>
      <c r="C27" s="116"/>
      <c r="D27" s="167" t="s">
        <v>6011</v>
      </c>
    </row>
    <row r="30" spans="1:14">
      <c r="A30" s="153"/>
    </row>
    <row r="31" spans="1:14">
      <c r="A31" s="153"/>
    </row>
    <row r="32" spans="1:14">
      <c r="A32" s="153"/>
    </row>
    <row r="33" spans="1:8">
      <c r="A33" s="153"/>
    </row>
    <row r="34" spans="1:8">
      <c r="A34" s="153"/>
    </row>
    <row r="35" spans="1:8" ht="13.5" thickBot="1">
      <c r="A35" s="153"/>
      <c r="H35" s="117">
        <f>SUM(H18:H33)</f>
        <v>20723</v>
      </c>
    </row>
    <row r="36" spans="1:8" ht="13.5" thickTop="1">
      <c r="A36" s="153"/>
    </row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Twenty Thousand Seven Hundred Twenty-Three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26" t="s">
        <v>10</v>
      </c>
      <c r="F39" s="265" t="s">
        <v>2894</v>
      </c>
      <c r="G39" s="266"/>
      <c r="H39" s="267"/>
    </row>
    <row r="42" spans="1:8">
      <c r="D42" s="121"/>
      <c r="E42" s="121"/>
    </row>
    <row r="43" spans="1:8">
      <c r="A43" s="122"/>
      <c r="B43" s="122"/>
      <c r="C43" s="433"/>
    </row>
    <row r="45" spans="1:8">
      <c r="A45" s="123" t="s">
        <v>8</v>
      </c>
      <c r="D45" s="123" t="s">
        <v>8</v>
      </c>
      <c r="F45" s="123" t="s">
        <v>7</v>
      </c>
      <c r="H45" s="124"/>
    </row>
    <row r="49" spans="1:8">
      <c r="A49" s="122"/>
      <c r="B49" s="122"/>
      <c r="C49" s="433"/>
      <c r="D49" s="122"/>
      <c r="F49" s="122"/>
      <c r="G49" s="122"/>
      <c r="H49" s="122"/>
    </row>
    <row r="50" spans="1:8" s="126" customFormat="1" ht="17.100000000000001" customHeight="1">
      <c r="A50" s="151" t="s">
        <v>2948</v>
      </c>
      <c r="B50" s="125"/>
      <c r="C50" s="125"/>
      <c r="D50" s="151" t="s">
        <v>103</v>
      </c>
      <c r="F50" s="126" t="s">
        <v>3</v>
      </c>
    </row>
    <row r="51" spans="1:8">
      <c r="F51" s="111" t="s">
        <v>2</v>
      </c>
    </row>
    <row r="53" spans="1:8">
      <c r="F53" s="2" t="s">
        <v>1</v>
      </c>
    </row>
    <row r="54" spans="1:8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21B5B-BC35-434E-8427-67820580BEE7}">
  <sheetPr codeName="Sheet582"/>
  <dimension ref="A1:P54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42578125" style="111" customWidth="1"/>
    <col min="2" max="2" width="12.42578125" style="111" customWidth="1"/>
    <col min="3" max="3" width="1" style="111" customWidth="1"/>
    <col min="4" max="4" width="21" style="111" customWidth="1"/>
    <col min="5" max="5" width="0.85546875" style="111" customWidth="1"/>
    <col min="6" max="6" width="16.42578125" style="111" customWidth="1"/>
    <col min="7" max="7" width="11.28515625" style="111" customWidth="1"/>
    <col min="8" max="8" width="13.28515625" style="111" customWidth="1"/>
    <col min="9" max="16384" width="9.140625" style="11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5">
      <c r="A8" s="111" t="s">
        <v>24</v>
      </c>
      <c r="F8" s="22" t="s">
        <v>23</v>
      </c>
      <c r="J8" s="111" t="s">
        <v>6138</v>
      </c>
      <c r="K8" s="111">
        <v>43462</v>
      </c>
      <c r="M8" s="111" t="s">
        <v>6139</v>
      </c>
    </row>
    <row r="9" spans="1:15">
      <c r="F9" s="112" t="s">
        <v>1716</v>
      </c>
      <c r="G9" s="111" t="s">
        <v>6640</v>
      </c>
    </row>
    <row r="10" spans="1:15">
      <c r="A10" s="111" t="s">
        <v>6148</v>
      </c>
      <c r="F10" s="112" t="s">
        <v>1162</v>
      </c>
      <c r="G10" s="111" t="s">
        <v>6635</v>
      </c>
    </row>
    <row r="11" spans="1:15">
      <c r="A11" s="111" t="s">
        <v>6149</v>
      </c>
      <c r="F11" s="112" t="s">
        <v>1163</v>
      </c>
      <c r="G11" s="111" t="s">
        <v>1094</v>
      </c>
    </row>
    <row r="12" spans="1:15">
      <c r="A12" s="111" t="s">
        <v>6150</v>
      </c>
      <c r="F12" s="112" t="s">
        <v>1096</v>
      </c>
      <c r="G12" s="486" t="s">
        <v>6641</v>
      </c>
    </row>
    <row r="13" spans="1:15">
      <c r="A13" s="111" t="s">
        <v>6151</v>
      </c>
      <c r="G13" s="131"/>
    </row>
    <row r="14" spans="1:15">
      <c r="A14" s="111" t="s">
        <v>1287</v>
      </c>
      <c r="L14" s="2" t="s">
        <v>3421</v>
      </c>
    </row>
    <row r="16" spans="1:15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  <c r="J16" s="116"/>
      <c r="K16" s="116" t="s">
        <v>6141</v>
      </c>
      <c r="L16" s="111" t="s">
        <v>6142</v>
      </c>
      <c r="M16" s="111"/>
      <c r="N16" s="111"/>
      <c r="O16" s="111">
        <v>90</v>
      </c>
    </row>
    <row r="17" spans="1:16">
      <c r="L17" s="111" t="s">
        <v>6143</v>
      </c>
      <c r="O17" s="111">
        <v>90</v>
      </c>
    </row>
    <row r="18" spans="1:16">
      <c r="D18" s="2" t="s">
        <v>6568</v>
      </c>
      <c r="E18" s="2"/>
      <c r="J18" s="116"/>
      <c r="K18" s="116"/>
      <c r="L18" s="111" t="s">
        <v>6144</v>
      </c>
      <c r="O18" s="111">
        <v>90</v>
      </c>
    </row>
    <row r="19" spans="1:16">
      <c r="D19" s="482" t="s">
        <v>6569</v>
      </c>
    </row>
    <row r="20" spans="1:16" s="483" customFormat="1">
      <c r="D20" s="482"/>
    </row>
    <row r="21" spans="1:16">
      <c r="A21" s="485" t="s">
        <v>6570</v>
      </c>
      <c r="B21" s="485" t="s">
        <v>6644</v>
      </c>
      <c r="C21" s="116"/>
      <c r="D21" s="483" t="s">
        <v>6645</v>
      </c>
      <c r="E21" s="120"/>
      <c r="H21" s="111">
        <f>127*250</f>
        <v>31750</v>
      </c>
    </row>
    <row r="22" spans="1:16">
      <c r="E22" s="120"/>
      <c r="L22" s="120" t="s">
        <v>6145</v>
      </c>
      <c r="M22" s="120"/>
      <c r="P22" s="111">
        <v>90</v>
      </c>
    </row>
    <row r="23" spans="1:16">
      <c r="A23" s="116"/>
      <c r="B23" s="116"/>
      <c r="C23" s="116"/>
      <c r="D23" s="2"/>
      <c r="E23" s="120"/>
      <c r="L23" s="120" t="s">
        <v>6146</v>
      </c>
      <c r="M23" s="120"/>
      <c r="P23" s="111">
        <v>90</v>
      </c>
    </row>
    <row r="24" spans="1:16">
      <c r="A24" s="116"/>
      <c r="B24" s="116"/>
      <c r="C24" s="116"/>
      <c r="D24" s="120"/>
      <c r="E24" s="120"/>
      <c r="L24" s="120"/>
      <c r="M24" s="120"/>
    </row>
    <row r="25" spans="1:16">
      <c r="A25" s="116"/>
      <c r="B25" s="116"/>
      <c r="C25" s="116"/>
      <c r="E25" s="120"/>
      <c r="L25" s="120" t="s">
        <v>6147</v>
      </c>
      <c r="M25" s="120"/>
      <c r="P25" s="111">
        <v>90</v>
      </c>
    </row>
    <row r="26" spans="1:16">
      <c r="D26" s="120"/>
      <c r="L26" s="120"/>
    </row>
    <row r="27" spans="1:16">
      <c r="A27" s="116"/>
      <c r="B27" s="116"/>
      <c r="C27" s="116"/>
      <c r="D27" s="168"/>
      <c r="E27" s="120"/>
      <c r="L27" s="120"/>
      <c r="M27" s="120"/>
    </row>
    <row r="28" spans="1:16">
      <c r="A28" s="116"/>
      <c r="B28" s="116"/>
      <c r="C28" s="116"/>
      <c r="D28" s="120"/>
      <c r="E28" s="120"/>
      <c r="L28" s="120" t="s">
        <v>6642</v>
      </c>
      <c r="M28" s="120"/>
    </row>
    <row r="29" spans="1:16">
      <c r="A29" s="116"/>
      <c r="B29" s="116"/>
      <c r="C29" s="116"/>
      <c r="D29" s="120"/>
      <c r="E29" s="120"/>
      <c r="L29" s="111" t="s">
        <v>6643</v>
      </c>
    </row>
    <row r="30" spans="1:16">
      <c r="A30" s="116"/>
      <c r="B30" s="116"/>
      <c r="C30" s="116"/>
      <c r="E30" s="2"/>
    </row>
    <row r="31" spans="1:16">
      <c r="A31" s="116"/>
      <c r="B31" s="116"/>
      <c r="C31" s="116"/>
      <c r="D31" s="2"/>
      <c r="E31" s="2"/>
    </row>
    <row r="32" spans="1:16">
      <c r="A32" s="116"/>
      <c r="B32" s="116"/>
      <c r="C32" s="116"/>
    </row>
    <row r="33" spans="1:8">
      <c r="A33" s="116"/>
      <c r="B33" s="121"/>
      <c r="C33" s="121"/>
    </row>
    <row r="35" spans="1:8" ht="13.5" thickBot="1">
      <c r="H35" s="127">
        <f>SUM(H19:H34)</f>
        <v>31750</v>
      </c>
    </row>
    <row r="36" spans="1:8" ht="13.5" thickTop="1"/>
    <row r="37" spans="1:8" ht="20.100000000000001" customHeight="1">
      <c r="A37" s="118" t="s">
        <v>1717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Thirty-One Thousand Seven Hundred Fifty and NO/100 -----------</v>
      </c>
      <c r="C37" s="202"/>
      <c r="D37" s="119"/>
      <c r="E37" s="119"/>
      <c r="F37" s="119"/>
      <c r="G37" s="119"/>
      <c r="H37" s="119"/>
    </row>
    <row r="38" spans="1:8" ht="20.100000000000001" customHeight="1">
      <c r="A38" s="160"/>
      <c r="B38" s="151"/>
      <c r="C38" s="151"/>
      <c r="D38" s="126"/>
      <c r="E38" s="126"/>
      <c r="F38" s="126"/>
      <c r="G38" s="126"/>
      <c r="H38" s="126"/>
    </row>
    <row r="39" spans="1:8" ht="25.5">
      <c r="A39" s="269" t="s">
        <v>3060</v>
      </c>
      <c r="F39" s="265" t="s">
        <v>2894</v>
      </c>
      <c r="G39" s="266"/>
      <c r="H39" s="267"/>
    </row>
    <row r="40" spans="1:8">
      <c r="A40" s="123"/>
      <c r="F40" s="310"/>
      <c r="G40" s="311"/>
      <c r="H40" s="311"/>
    </row>
    <row r="41" spans="1:8">
      <c r="D41" s="121"/>
      <c r="E41" s="121"/>
    </row>
    <row r="42" spans="1:8">
      <c r="A42" s="123"/>
      <c r="D42" s="121"/>
      <c r="E42" s="121"/>
    </row>
    <row r="43" spans="1:8">
      <c r="A43" s="150"/>
      <c r="B43" s="122"/>
    </row>
    <row r="44" spans="1:8">
      <c r="A44" s="123"/>
    </row>
    <row r="45" spans="1:8">
      <c r="A45" s="123" t="s">
        <v>8</v>
      </c>
      <c r="D45" s="123" t="s">
        <v>8</v>
      </c>
      <c r="F45" s="123" t="s">
        <v>7</v>
      </c>
      <c r="H45" s="124"/>
    </row>
    <row r="46" spans="1:8">
      <c r="A46" s="123"/>
      <c r="D46" s="123"/>
    </row>
    <row r="47" spans="1:8">
      <c r="A47" s="123"/>
      <c r="D47" s="123"/>
    </row>
    <row r="48" spans="1:8">
      <c r="A48" s="123"/>
      <c r="D48" s="123"/>
    </row>
    <row r="49" spans="1:8">
      <c r="A49" s="150"/>
      <c r="B49" s="122"/>
      <c r="D49" s="150"/>
      <c r="F49" s="122"/>
      <c r="G49" s="122"/>
      <c r="H49" s="122"/>
    </row>
    <row r="50" spans="1:8" s="126" customFormat="1" ht="17.100000000000001" customHeight="1">
      <c r="A50" s="123" t="s">
        <v>3441</v>
      </c>
      <c r="B50" s="125"/>
      <c r="C50" s="125"/>
      <c r="D50" s="123" t="s">
        <v>103</v>
      </c>
      <c r="F50" s="126" t="s">
        <v>3</v>
      </c>
    </row>
    <row r="51" spans="1:8">
      <c r="A51" s="123"/>
      <c r="F51" s="111" t="s">
        <v>2</v>
      </c>
    </row>
    <row r="52" spans="1:8">
      <c r="A52" s="123"/>
    </row>
    <row r="53" spans="1:8">
      <c r="F53" s="2" t="s">
        <v>1</v>
      </c>
    </row>
    <row r="54" spans="1:8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41D42-728B-4D9B-979E-5D44C70D2FCB}">
  <sheetPr codeName="Sheet599">
    <pageSetUpPr fitToPage="1"/>
  </sheetPr>
  <dimension ref="A1:H56"/>
  <sheetViews>
    <sheetView topLeftCell="A4" workbookViewId="0">
      <selection activeCell="G9" sqref="G9:G13"/>
    </sheetView>
  </sheetViews>
  <sheetFormatPr defaultRowHeight="12.75"/>
  <cols>
    <col min="1" max="1" width="16" style="488" customWidth="1"/>
    <col min="2" max="2" width="13.7109375" style="488" customWidth="1"/>
    <col min="3" max="3" width="1.28515625" style="488" customWidth="1"/>
    <col min="4" max="4" width="21" style="488" customWidth="1"/>
    <col min="5" max="5" width="1.42578125" style="488" customWidth="1"/>
    <col min="6" max="6" width="16.42578125" style="488" customWidth="1"/>
    <col min="7" max="7" width="9" style="488" customWidth="1"/>
    <col min="8" max="8" width="13.28515625" style="488" customWidth="1"/>
    <col min="9" max="11" width="9.140625" style="86"/>
    <col min="12" max="12" width="10.42578125" style="86" bestFit="1" customWidth="1"/>
    <col min="13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488" t="s">
        <v>24</v>
      </c>
      <c r="F8" s="87" t="s">
        <v>23</v>
      </c>
    </row>
    <row r="9" spans="1:8">
      <c r="F9" s="489" t="s">
        <v>1110</v>
      </c>
      <c r="G9" s="483" t="s">
        <v>7266</v>
      </c>
    </row>
    <row r="10" spans="1:8">
      <c r="A10" s="488" t="s">
        <v>6375</v>
      </c>
      <c r="F10" s="489" t="s">
        <v>1685</v>
      </c>
      <c r="G10" s="484" t="s">
        <v>7265</v>
      </c>
    </row>
    <row r="11" spans="1:8">
      <c r="A11" s="488" t="s">
        <v>6376</v>
      </c>
      <c r="F11" s="489" t="s">
        <v>1163</v>
      </c>
      <c r="G11" s="484" t="s">
        <v>1094</v>
      </c>
    </row>
    <row r="12" spans="1:8">
      <c r="A12" s="488" t="s">
        <v>6377</v>
      </c>
      <c r="F12" s="489" t="s">
        <v>1188</v>
      </c>
      <c r="G12" s="486" t="s">
        <v>7267</v>
      </c>
    </row>
    <row r="13" spans="1:8">
      <c r="A13" s="488" t="s">
        <v>6378</v>
      </c>
      <c r="G13" s="488" t="s">
        <v>6182</v>
      </c>
    </row>
    <row r="16" spans="1:8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7" spans="1:8">
      <c r="A17" s="177"/>
    </row>
    <row r="18" spans="1:8">
      <c r="C18" s="492"/>
      <c r="D18" s="491" t="s">
        <v>5925</v>
      </c>
      <c r="E18" s="491"/>
    </row>
    <row r="19" spans="1:8">
      <c r="A19" s="177"/>
      <c r="E19" s="491"/>
    </row>
    <row r="20" spans="1:8">
      <c r="A20" s="413" t="s">
        <v>7268</v>
      </c>
      <c r="B20" s="492" t="s">
        <v>7269</v>
      </c>
      <c r="D20" s="488" t="s">
        <v>7270</v>
      </c>
      <c r="H20" s="488">
        <v>3050</v>
      </c>
    </row>
    <row r="21" spans="1:8">
      <c r="A21" s="177"/>
      <c r="D21" s="488" t="s">
        <v>1814</v>
      </c>
      <c r="H21" s="488">
        <v>130</v>
      </c>
    </row>
    <row r="22" spans="1:8">
      <c r="A22" s="177"/>
    </row>
    <row r="23" spans="1:8">
      <c r="A23" s="492"/>
      <c r="B23" s="141"/>
      <c r="D23" s="488" t="s">
        <v>7078</v>
      </c>
    </row>
    <row r="25" spans="1:8">
      <c r="A25" s="177"/>
    </row>
    <row r="26" spans="1:8">
      <c r="A26" s="177"/>
      <c r="D26" s="491"/>
    </row>
    <row r="27" spans="1:8">
      <c r="A27" s="177"/>
    </row>
    <row r="28" spans="1:8">
      <c r="A28" s="492"/>
      <c r="B28" s="141"/>
      <c r="E28" s="491"/>
    </row>
    <row r="29" spans="1:8">
      <c r="A29" s="254"/>
      <c r="B29" s="492"/>
      <c r="C29" s="492"/>
    </row>
    <row r="32" spans="1:8">
      <c r="A32" s="492"/>
    </row>
    <row r="33" spans="1:8">
      <c r="A33" s="492"/>
      <c r="B33" s="86"/>
      <c r="C33" s="86"/>
    </row>
    <row r="34" spans="1:8">
      <c r="A34" s="86"/>
      <c r="B34" s="86"/>
      <c r="C34" s="86"/>
      <c r="D34" s="86"/>
      <c r="E34" s="86"/>
      <c r="F34" s="86"/>
      <c r="G34" s="86"/>
      <c r="H34" s="86"/>
    </row>
    <row r="35" spans="1:8">
      <c r="A35" s="177"/>
      <c r="H35" s="86"/>
    </row>
    <row r="36" spans="1:8" ht="13.5" thickBot="1">
      <c r="A36" s="177"/>
      <c r="H36" s="137">
        <f>SUM(H18:H34)</f>
        <v>3180</v>
      </c>
    </row>
    <row r="37" spans="1:8" ht="13.5" thickTop="1">
      <c r="A37" s="177"/>
    </row>
    <row r="38" spans="1:8" ht="20.100000000000001" customHeight="1">
      <c r="A38" s="138" t="s">
        <v>1686</v>
      </c>
      <c r="B38" s="204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Three Thousand One Hundred Eighty and NO/100 -----------</v>
      </c>
      <c r="C38" s="204"/>
      <c r="D38" s="139"/>
      <c r="E38" s="139"/>
      <c r="F38" s="139"/>
      <c r="G38" s="139"/>
      <c r="H38" s="139"/>
    </row>
    <row r="39" spans="1:8">
      <c r="A39" s="140"/>
    </row>
    <row r="40" spans="1:8" ht="25.5">
      <c r="A40" s="490" t="s">
        <v>10</v>
      </c>
      <c r="D40" s="445"/>
      <c r="F40" s="283" t="s">
        <v>2894</v>
      </c>
      <c r="G40" s="284"/>
      <c r="H40" s="285"/>
    </row>
    <row r="41" spans="1:8">
      <c r="D41" s="445"/>
    </row>
    <row r="42" spans="1:8">
      <c r="D42" s="445"/>
      <c r="F42" s="291"/>
      <c r="G42" s="291"/>
      <c r="H42" s="291"/>
    </row>
    <row r="43" spans="1:8">
      <c r="A43" s="488" t="s">
        <v>51</v>
      </c>
      <c r="D43" s="445"/>
      <c r="E43" s="141"/>
      <c r="F43" s="286"/>
      <c r="G43" s="287"/>
      <c r="H43" s="287"/>
    </row>
    <row r="44" spans="1:8">
      <c r="A44" s="104"/>
      <c r="B44" s="142"/>
      <c r="D44" s="445"/>
    </row>
    <row r="45" spans="1:8">
      <c r="D45" s="445"/>
    </row>
    <row r="47" spans="1:8">
      <c r="A47" s="488" t="s">
        <v>8</v>
      </c>
      <c r="D47" s="488" t="s">
        <v>8</v>
      </c>
      <c r="F47" s="493" t="s">
        <v>7</v>
      </c>
      <c r="H47" s="144"/>
    </row>
    <row r="51" spans="1:8">
      <c r="A51" s="142"/>
      <c r="B51" s="142"/>
      <c r="D51" s="142"/>
      <c r="F51" s="142"/>
      <c r="G51" s="142"/>
      <c r="H51" s="142"/>
    </row>
    <row r="52" spans="1:8" s="109" customFormat="1" ht="17.100000000000001" customHeight="1">
      <c r="A52" s="488" t="s">
        <v>2948</v>
      </c>
      <c r="B52" s="146"/>
      <c r="C52" s="146"/>
      <c r="D52" s="488" t="s">
        <v>103</v>
      </c>
      <c r="E52" s="490"/>
      <c r="F52" s="490" t="s">
        <v>3</v>
      </c>
      <c r="G52" s="490"/>
      <c r="H52" s="490"/>
    </row>
    <row r="53" spans="1:8">
      <c r="F53" s="488" t="s">
        <v>2</v>
      </c>
    </row>
    <row r="55" spans="1:8">
      <c r="F55" s="491" t="s">
        <v>1</v>
      </c>
    </row>
    <row r="56" spans="1:8">
      <c r="F56" s="491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677EB-2823-43DE-9BA3-0845E025A2D8}">
  <sheetPr codeName="Sheet679"/>
  <dimension ref="A1:U63"/>
  <sheetViews>
    <sheetView view="pageBreakPreview" topLeftCell="A19" zoomScaleNormal="100" zoomScaleSheetLayoutView="100" workbookViewId="0">
      <selection activeCell="G9" sqref="G9:G13"/>
    </sheetView>
  </sheetViews>
  <sheetFormatPr defaultRowHeight="12.75"/>
  <cols>
    <col min="1" max="1" width="15.28515625" style="131" customWidth="1"/>
    <col min="2" max="2" width="15.85546875" style="131" customWidth="1"/>
    <col min="3" max="3" width="1.28515625" style="131" customWidth="1"/>
    <col min="4" max="4" width="21" style="131" customWidth="1"/>
    <col min="5" max="5" width="1.28515625" style="131" customWidth="1"/>
    <col min="6" max="6" width="13.28515625" style="131" customWidth="1"/>
    <col min="7" max="7" width="9" style="131" customWidth="1"/>
    <col min="8" max="8" width="13.28515625" style="131" customWidth="1"/>
    <col min="9" max="11" width="9.140625" style="86"/>
    <col min="12" max="12" width="10.42578125" style="86" bestFit="1" customWidth="1"/>
    <col min="13" max="16384" width="9.140625" style="86"/>
  </cols>
  <sheetData>
    <row r="1" spans="1:19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9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9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9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19">
      <c r="A8" s="131" t="s">
        <v>24</v>
      </c>
      <c r="F8" s="87" t="s">
        <v>23</v>
      </c>
    </row>
    <row r="9" spans="1:19">
      <c r="F9" s="132" t="s">
        <v>1110</v>
      </c>
      <c r="G9" s="126" t="s">
        <v>5140</v>
      </c>
    </row>
    <row r="10" spans="1:19">
      <c r="A10" s="131" t="s">
        <v>5141</v>
      </c>
      <c r="F10" s="132" t="s">
        <v>1685</v>
      </c>
      <c r="G10" s="160" t="s">
        <v>5139</v>
      </c>
    </row>
    <row r="11" spans="1:19">
      <c r="A11" s="131" t="s">
        <v>5142</v>
      </c>
      <c r="F11" s="132" t="s">
        <v>1163</v>
      </c>
      <c r="G11" s="160" t="s">
        <v>1094</v>
      </c>
    </row>
    <row r="12" spans="1:19">
      <c r="A12" s="131" t="s">
        <v>5143</v>
      </c>
      <c r="F12" s="132" t="s">
        <v>1188</v>
      </c>
      <c r="G12" s="160" t="s">
        <v>1270</v>
      </c>
      <c r="P12" s="86" t="s">
        <v>2847</v>
      </c>
    </row>
    <row r="13" spans="1:19">
      <c r="A13" s="131" t="s">
        <v>5144</v>
      </c>
      <c r="K13" s="333"/>
    </row>
    <row r="14" spans="1:19">
      <c r="N14" s="86" t="s">
        <v>3282</v>
      </c>
      <c r="O14" s="86" t="s">
        <v>3343</v>
      </c>
      <c r="P14" s="86" t="s">
        <v>3345</v>
      </c>
      <c r="S14" s="86">
        <v>166002.99008399999</v>
      </c>
    </row>
    <row r="15" spans="1:19">
      <c r="P15" s="86" t="s">
        <v>3344</v>
      </c>
    </row>
    <row r="16" spans="1:19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  <c r="P16" s="95" t="s">
        <v>2848</v>
      </c>
    </row>
    <row r="17" spans="1:21">
      <c r="A17" s="177"/>
    </row>
    <row r="18" spans="1:21">
      <c r="D18" s="110" t="s">
        <v>5097</v>
      </c>
      <c r="E18" s="110"/>
      <c r="P18" s="86" t="s">
        <v>3346</v>
      </c>
    </row>
    <row r="20" spans="1:21">
      <c r="A20" s="158" t="s">
        <v>5123</v>
      </c>
      <c r="B20" s="306" t="s">
        <v>5145</v>
      </c>
      <c r="C20" s="158"/>
      <c r="D20" s="131" t="s">
        <v>5146</v>
      </c>
      <c r="H20" s="131">
        <f>7579.98*3.0514</f>
        <v>23129.550972000001</v>
      </c>
      <c r="P20" s="86" t="s">
        <v>1697</v>
      </c>
      <c r="S20" s="86">
        <v>10</v>
      </c>
    </row>
    <row r="21" spans="1:21">
      <c r="A21" s="158"/>
      <c r="B21" s="140"/>
      <c r="C21" s="140"/>
      <c r="E21" s="200"/>
    </row>
    <row r="22" spans="1:21">
      <c r="A22" s="158"/>
      <c r="B22" s="141"/>
      <c r="C22" s="141"/>
      <c r="D22" s="131" t="s">
        <v>5147</v>
      </c>
      <c r="P22" s="86" t="s">
        <v>1814</v>
      </c>
      <c r="S22" s="86">
        <v>0.6</v>
      </c>
    </row>
    <row r="23" spans="1:21">
      <c r="F23" s="86"/>
      <c r="G23" s="86"/>
      <c r="L23" s="333"/>
    </row>
    <row r="24" spans="1:21">
      <c r="D24" s="131" t="s">
        <v>1697</v>
      </c>
      <c r="H24" s="131">
        <v>30</v>
      </c>
    </row>
    <row r="28" spans="1:21">
      <c r="A28" s="254"/>
      <c r="B28" s="141"/>
      <c r="C28" s="141"/>
      <c r="N28" s="131"/>
      <c r="O28" s="131"/>
      <c r="P28" s="131"/>
      <c r="Q28" s="110" t="s">
        <v>2847</v>
      </c>
      <c r="R28" s="110"/>
      <c r="S28" s="131"/>
      <c r="T28" s="131"/>
      <c r="U28" s="131"/>
    </row>
    <row r="29" spans="1:21">
      <c r="N29" s="131"/>
      <c r="O29" s="131"/>
      <c r="P29" s="131"/>
      <c r="Q29" s="131"/>
      <c r="R29" s="131"/>
      <c r="S29" s="131"/>
      <c r="T29" s="131"/>
      <c r="U29" s="131"/>
    </row>
    <row r="30" spans="1:21">
      <c r="N30" s="158" t="s">
        <v>3843</v>
      </c>
      <c r="O30" s="158" t="s">
        <v>3846</v>
      </c>
      <c r="P30" s="158"/>
      <c r="Q30" s="131" t="s">
        <v>3894</v>
      </c>
      <c r="R30" s="131"/>
      <c r="S30" s="131"/>
      <c r="T30" s="131"/>
      <c r="U30" s="131">
        <f>71537.26*3.02309999</f>
        <v>216264.28999062738</v>
      </c>
    </row>
    <row r="31" spans="1:21">
      <c r="A31" s="158"/>
      <c r="B31" s="141"/>
      <c r="C31" s="141"/>
      <c r="N31" s="158"/>
      <c r="O31" s="140"/>
      <c r="P31" s="140"/>
      <c r="Q31" s="200" t="s">
        <v>3847</v>
      </c>
      <c r="R31" s="200"/>
      <c r="S31" s="131"/>
      <c r="T31" s="131"/>
      <c r="U31" s="131"/>
    </row>
    <row r="32" spans="1:21" hidden="1">
      <c r="D32" s="200"/>
      <c r="E32" s="200"/>
      <c r="N32" s="158"/>
      <c r="O32" s="141"/>
      <c r="P32" s="141"/>
      <c r="Q32" s="131"/>
      <c r="R32" s="131"/>
      <c r="S32" s="131"/>
      <c r="T32" s="131"/>
      <c r="U32" s="131"/>
    </row>
    <row r="33" spans="1:21" hidden="1">
      <c r="A33" s="158"/>
      <c r="B33" s="141"/>
      <c r="C33" s="141"/>
      <c r="N33" s="131"/>
      <c r="O33" s="131"/>
      <c r="P33" s="131"/>
      <c r="Q33" s="131" t="s">
        <v>3895</v>
      </c>
      <c r="R33" s="131"/>
    </row>
    <row r="34" spans="1:21" hidden="1">
      <c r="A34" s="158"/>
      <c r="B34" s="141"/>
      <c r="C34" s="141"/>
      <c r="D34" s="110"/>
      <c r="E34" s="110"/>
      <c r="N34" s="131"/>
      <c r="O34" s="131"/>
      <c r="P34" s="131"/>
      <c r="Q34" s="131"/>
      <c r="R34" s="131"/>
      <c r="S34" s="131"/>
      <c r="T34" s="131"/>
      <c r="U34" s="131"/>
    </row>
    <row r="35" spans="1:21" hidden="1">
      <c r="A35" s="254"/>
      <c r="B35" s="140"/>
      <c r="C35" s="140"/>
      <c r="D35" s="86"/>
      <c r="E35" s="86"/>
      <c r="F35" s="86"/>
      <c r="G35" s="86"/>
      <c r="H35" s="86"/>
      <c r="N35" s="254"/>
      <c r="O35" s="141"/>
      <c r="P35" s="141"/>
      <c r="Q35" s="131" t="s">
        <v>1697</v>
      </c>
      <c r="R35" s="131"/>
      <c r="S35" s="131"/>
      <c r="T35" s="131"/>
      <c r="U35" s="131">
        <v>10</v>
      </c>
    </row>
    <row r="36" spans="1:21" hidden="1">
      <c r="A36" s="86"/>
      <c r="B36" s="86"/>
      <c r="C36" s="86"/>
      <c r="N36" s="131"/>
      <c r="O36" s="131"/>
      <c r="P36" s="131"/>
      <c r="Q36" s="131"/>
      <c r="R36" s="131"/>
      <c r="S36" s="131"/>
      <c r="T36" s="131"/>
      <c r="U36" s="131"/>
    </row>
    <row r="37" spans="1:21" hidden="1">
      <c r="A37" s="86"/>
      <c r="B37" s="86"/>
      <c r="C37" s="86"/>
      <c r="D37" s="200"/>
      <c r="E37" s="200"/>
      <c r="N37" s="131"/>
      <c r="O37" s="131"/>
      <c r="P37" s="131"/>
      <c r="Q37" s="131" t="s">
        <v>1814</v>
      </c>
      <c r="R37" s="131"/>
      <c r="S37" s="131"/>
      <c r="T37" s="131"/>
      <c r="U37" s="131">
        <v>0.6</v>
      </c>
    </row>
    <row r="38" spans="1:21" hidden="1">
      <c r="A38" s="254"/>
      <c r="B38" s="158"/>
      <c r="C38" s="158"/>
      <c r="D38" s="86"/>
      <c r="E38" s="86"/>
    </row>
    <row r="39" spans="1:21" hidden="1">
      <c r="A39" s="254"/>
      <c r="B39" s="158"/>
      <c r="C39" s="158"/>
    </row>
    <row r="40" spans="1:21" hidden="1">
      <c r="A40" s="254"/>
      <c r="B40" s="140"/>
      <c r="C40" s="140"/>
    </row>
    <row r="41" spans="1:21">
      <c r="A41" s="254"/>
      <c r="B41" s="140"/>
      <c r="C41" s="140"/>
    </row>
    <row r="42" spans="1:21">
      <c r="A42" s="103"/>
      <c r="B42" s="86"/>
      <c r="C42" s="86"/>
      <c r="D42" s="86"/>
      <c r="E42" s="86"/>
      <c r="F42" s="86"/>
      <c r="G42" s="86"/>
      <c r="H42" s="86"/>
    </row>
    <row r="43" spans="1:21" ht="13.5" thickBot="1">
      <c r="A43" s="177"/>
      <c r="H43" s="137">
        <f>SUM(H20:H42)</f>
        <v>23159.550972000001</v>
      </c>
    </row>
    <row r="44" spans="1:21" ht="13.5" thickTop="1">
      <c r="A44" s="177"/>
    </row>
    <row r="45" spans="1:21" ht="20.100000000000001" customHeight="1">
      <c r="A45" s="138" t="s">
        <v>1686</v>
      </c>
      <c r="B45" s="204" t="str">
        <f>IF(OR(H43&gt;1000000,H43&lt;=0),"",IF(H43&lt;1000,"",IF(MOD(H43,1000000)&gt;=100000,INDEX(numbers,TRUNC(MOD(H43,1000000)/100000,0)+1)&amp;" Hundred","")&amp;IF(MOD(H43,100000)&gt;=20000," "&amp;INDEX(tens,TRUNC(MOD(H43,100000)/10000,0)+1)&amp;IF(MOD(MOD(H43,100000),10000)&gt;=1000,"-"&amp;INDEX(numbers,TRUNC(MOD(MOD(H43,100000),10000)/1000,0)+1),""),IF(MOD(H43,100000)&gt;=1000," "&amp;INDEX(numbers,TRUNC(MOD(H43,100000)/1000,0)+1),""))&amp;" Thousand") &amp; IF(H43&lt;1,"Zero Dollars",IF(MOD(H43,1000)&gt;=100," "&amp;INDEX(numbers,TRUNC(MOD(H43,1000)/100,0)+1)&amp;" Hundred","")&amp;IF(MOD(H43,100)&gt;=20," "&amp;INDEX(tens,TRUNC(MOD(H43,100)/10,0)+1)&amp;IF(MOD(MOD(H43,100),10)&gt;=1,"-"&amp;INDEX(numbers,TRUNC(MOD(MOD(H43,100),10),0)+1),""),IF(MOD(H43,100)&gt;=1," "&amp;INDEX(numbers,TRUNC(MOD(H43,100),0)+1),""))&amp;"") &amp; " and " &amp; IF(MOD(H43,1)&lt;0.005,"NO",ROUND(MOD(H43,1)*100,0)) &amp; "/100 -----------")</f>
        <v xml:space="preserve"> Twenty-Three Thousand One Hundred Fifty-Nine and 55/100 -----------</v>
      </c>
      <c r="C45" s="204"/>
      <c r="D45" s="139"/>
      <c r="E45" s="139"/>
      <c r="F45" s="139"/>
      <c r="G45" s="139"/>
      <c r="H45" s="139"/>
      <c r="N45" s="131"/>
      <c r="O45" s="131"/>
      <c r="P45" s="131"/>
      <c r="Q45" s="110" t="s">
        <v>4411</v>
      </c>
      <c r="R45" s="110"/>
      <c r="S45" s="131"/>
      <c r="T45" s="131"/>
      <c r="U45" s="131"/>
    </row>
    <row r="46" spans="1:21">
      <c r="A46" s="226"/>
      <c r="N46" s="131"/>
      <c r="O46" s="131"/>
      <c r="P46" s="131"/>
      <c r="Q46" s="131"/>
      <c r="R46" s="131"/>
      <c r="S46" s="131"/>
      <c r="T46" s="131"/>
      <c r="U46" s="131"/>
    </row>
    <row r="47" spans="1:21" ht="25.5">
      <c r="A47" s="131" t="s">
        <v>10</v>
      </c>
      <c r="F47" s="265" t="s">
        <v>2894</v>
      </c>
      <c r="G47" s="266"/>
      <c r="H47" s="267"/>
      <c r="N47" s="158" t="s">
        <v>4399</v>
      </c>
      <c r="O47" s="158" t="s">
        <v>4412</v>
      </c>
      <c r="P47" s="158"/>
      <c r="Q47" s="131" t="s">
        <v>4413</v>
      </c>
      <c r="R47" s="131"/>
      <c r="S47" s="131"/>
      <c r="T47" s="131"/>
      <c r="U47" s="131">
        <f>4316.54*3.1221</f>
        <v>13476.669534000001</v>
      </c>
    </row>
    <row r="48" spans="1:21">
      <c r="N48" s="158"/>
      <c r="O48" s="140"/>
      <c r="P48" s="140"/>
      <c r="Q48" s="200"/>
      <c r="R48" s="200"/>
      <c r="S48" s="131"/>
      <c r="T48" s="131"/>
      <c r="U48" s="131"/>
    </row>
    <row r="49" spans="1:21">
      <c r="N49" s="158"/>
      <c r="O49" s="141"/>
      <c r="P49" s="141"/>
      <c r="Q49" s="131" t="s">
        <v>4414</v>
      </c>
      <c r="R49" s="131"/>
      <c r="S49" s="131"/>
      <c r="T49" s="131"/>
      <c r="U49" s="131">
        <f>1402.88*3.1221</f>
        <v>4379.9316480000007</v>
      </c>
    </row>
    <row r="50" spans="1:21">
      <c r="A50" s="131" t="s">
        <v>51</v>
      </c>
      <c r="E50" s="141"/>
      <c r="N50" s="131"/>
      <c r="O50" s="131"/>
      <c r="P50" s="131"/>
      <c r="Q50" s="131"/>
      <c r="R50" s="131"/>
    </row>
    <row r="51" spans="1:21">
      <c r="A51" s="142"/>
      <c r="B51" s="142"/>
      <c r="D51" s="145"/>
      <c r="N51" s="131"/>
      <c r="O51" s="131"/>
      <c r="P51" s="131"/>
      <c r="Q51" s="131" t="s">
        <v>1697</v>
      </c>
      <c r="R51" s="131"/>
      <c r="S51" s="131"/>
      <c r="T51" s="131"/>
      <c r="U51" s="131">
        <v>10</v>
      </c>
    </row>
    <row r="52" spans="1:21">
      <c r="D52" s="147"/>
      <c r="N52" s="254"/>
      <c r="O52" s="141"/>
      <c r="P52" s="141"/>
      <c r="Q52" s="131"/>
      <c r="R52" s="131"/>
      <c r="S52" s="131"/>
      <c r="T52" s="131"/>
      <c r="U52" s="131"/>
    </row>
    <row r="53" spans="1:21">
      <c r="D53" s="147"/>
      <c r="N53" s="131"/>
      <c r="O53" s="131"/>
      <c r="P53" s="131"/>
      <c r="Q53" s="131" t="s">
        <v>1814</v>
      </c>
      <c r="R53" s="131"/>
      <c r="S53" s="131"/>
      <c r="T53" s="131"/>
      <c r="U53" s="131">
        <v>0.6</v>
      </c>
    </row>
    <row r="54" spans="1:21">
      <c r="A54" s="131" t="s">
        <v>8</v>
      </c>
      <c r="D54" s="131" t="s">
        <v>8</v>
      </c>
      <c r="F54" s="143" t="s">
        <v>7</v>
      </c>
      <c r="H54" s="144"/>
      <c r="N54" s="131"/>
      <c r="O54" s="131"/>
      <c r="P54" s="131"/>
      <c r="Q54" s="131"/>
      <c r="R54" s="131"/>
      <c r="S54" s="131"/>
      <c r="T54" s="131"/>
      <c r="U54" s="131"/>
    </row>
    <row r="58" spans="1:21">
      <c r="A58" s="274"/>
      <c r="B58" s="142"/>
      <c r="D58" s="274"/>
      <c r="F58" s="142"/>
      <c r="G58" s="142"/>
      <c r="H58" s="142"/>
    </row>
    <row r="59" spans="1:21" s="109" customFormat="1" ht="17.100000000000001" customHeight="1">
      <c r="A59" s="147" t="s">
        <v>2948</v>
      </c>
      <c r="B59" s="146"/>
      <c r="C59" s="146"/>
      <c r="D59" s="147" t="s">
        <v>103</v>
      </c>
      <c r="E59" s="147"/>
      <c r="F59" s="147" t="s">
        <v>3</v>
      </c>
      <c r="G59" s="147"/>
      <c r="H59" s="147"/>
    </row>
    <row r="60" spans="1:21">
      <c r="F60" s="131" t="s">
        <v>2</v>
      </c>
    </row>
    <row r="62" spans="1:21">
      <c r="F62" s="110" t="s">
        <v>1</v>
      </c>
    </row>
    <row r="63" spans="1:21">
      <c r="F63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0F1B1-3409-41BE-8241-96207D301CE6}">
  <sheetPr codeName="Sheet600">
    <pageSetUpPr fitToPage="1"/>
  </sheetPr>
  <dimension ref="A1:Q54"/>
  <sheetViews>
    <sheetView zoomScaleNormal="100" workbookViewId="0">
      <selection activeCell="G9" sqref="G9:G13"/>
    </sheetView>
  </sheetViews>
  <sheetFormatPr defaultRowHeight="12.75"/>
  <cols>
    <col min="1" max="1" width="15.5703125" style="483" customWidth="1"/>
    <col min="2" max="2" width="14.28515625" style="483" customWidth="1"/>
    <col min="3" max="3" width="1" style="483" customWidth="1"/>
    <col min="4" max="4" width="21.5703125" style="483" customWidth="1"/>
    <col min="5" max="5" width="0.7109375" style="483" customWidth="1"/>
    <col min="6" max="6" width="16.42578125" style="483" customWidth="1"/>
    <col min="7" max="7" width="11.28515625" style="483" customWidth="1"/>
    <col min="8" max="8" width="13.28515625" style="483" customWidth="1"/>
    <col min="9" max="10" width="9.140625" style="483"/>
    <col min="11" max="11" width="12.7109375" style="483" customWidth="1"/>
    <col min="12" max="15" width="9.140625" style="483"/>
    <col min="16" max="17" width="12" style="483" customWidth="1"/>
    <col min="18" max="16384" width="9.140625" style="483"/>
  </cols>
  <sheetData>
    <row r="1" spans="1:17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7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7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7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7">
      <c r="A8" s="483" t="s">
        <v>24</v>
      </c>
      <c r="F8" s="22" t="s">
        <v>23</v>
      </c>
    </row>
    <row r="9" spans="1:17">
      <c r="F9" s="484" t="s">
        <v>1239</v>
      </c>
      <c r="G9" s="489" t="s">
        <v>6395</v>
      </c>
      <c r="J9" s="148"/>
      <c r="K9" s="148"/>
    </row>
    <row r="10" spans="1:17">
      <c r="A10" s="483" t="s">
        <v>6396</v>
      </c>
      <c r="F10" s="484" t="s">
        <v>1124</v>
      </c>
      <c r="G10" s="489" t="s">
        <v>6310</v>
      </c>
    </row>
    <row r="11" spans="1:17">
      <c r="A11" s="483" t="s">
        <v>6397</v>
      </c>
      <c r="F11" s="484" t="s">
        <v>1125</v>
      </c>
      <c r="G11" s="489" t="s">
        <v>1094</v>
      </c>
    </row>
    <row r="12" spans="1:17">
      <c r="A12" s="483" t="s">
        <v>6398</v>
      </c>
      <c r="F12" s="484" t="s">
        <v>1126</v>
      </c>
      <c r="G12" s="486" t="s">
        <v>1270</v>
      </c>
    </row>
    <row r="13" spans="1:17">
      <c r="F13" s="484"/>
      <c r="P13" s="501">
        <f>165000/25400</f>
        <v>6.4960629921259843</v>
      </c>
    </row>
    <row r="15" spans="1:17">
      <c r="L15" s="483" t="s">
        <v>6390</v>
      </c>
      <c r="M15" s="314"/>
      <c r="P15" s="483">
        <f>(90000/6.49606299)*4.1213</f>
        <v>57098.738200505039</v>
      </c>
    </row>
    <row r="16" spans="1:17" s="15" customFormat="1" ht="20.100000000000001" customHeight="1">
      <c r="A16" s="18" t="s">
        <v>1140</v>
      </c>
      <c r="B16" s="500" t="s">
        <v>1098</v>
      </c>
      <c r="C16" s="500"/>
      <c r="D16" s="19" t="s">
        <v>14</v>
      </c>
      <c r="E16" s="19"/>
      <c r="F16" s="18"/>
      <c r="G16" s="16" t="s">
        <v>13</v>
      </c>
      <c r="H16" s="128"/>
      <c r="L16" s="483" t="s">
        <v>6391</v>
      </c>
      <c r="M16" s="483"/>
      <c r="N16" s="483"/>
      <c r="O16" s="483"/>
      <c r="P16" s="483"/>
      <c r="Q16" s="126"/>
    </row>
    <row r="18" spans="1:16">
      <c r="B18" s="485"/>
      <c r="C18" s="485"/>
      <c r="D18" s="482" t="s">
        <v>4157</v>
      </c>
      <c r="E18" s="482"/>
      <c r="L18" s="483" t="s">
        <v>6392</v>
      </c>
      <c r="P18" s="483">
        <f>(30000/6.49606299)*4.1213</f>
        <v>19032.912733501678</v>
      </c>
    </row>
    <row r="19" spans="1:16">
      <c r="A19" s="486"/>
    </row>
    <row r="20" spans="1:16">
      <c r="A20" s="485" t="s">
        <v>6302</v>
      </c>
      <c r="B20" s="335" t="s">
        <v>6399</v>
      </c>
      <c r="C20" s="485"/>
      <c r="D20" s="483" t="s">
        <v>6400</v>
      </c>
      <c r="H20" s="483">
        <f>203500000*0.000311</f>
        <v>63288.500000000007</v>
      </c>
      <c r="L20" s="483" t="s">
        <v>6393</v>
      </c>
      <c r="M20" s="314"/>
      <c r="P20" s="483">
        <f>(45000/6.49606299)*4.1213</f>
        <v>28549.369100252519</v>
      </c>
    </row>
    <row r="21" spans="1:16">
      <c r="A21" s="485"/>
      <c r="B21" s="121"/>
      <c r="D21" s="483" t="s">
        <v>6401</v>
      </c>
    </row>
    <row r="22" spans="1:16">
      <c r="A22" s="485"/>
      <c r="B22" s="485"/>
      <c r="C22" s="485"/>
      <c r="E22" s="314"/>
      <c r="L22" s="483" t="s">
        <v>6394</v>
      </c>
    </row>
    <row r="23" spans="1:16">
      <c r="A23" s="485"/>
      <c r="B23" s="121"/>
      <c r="D23" s="483" t="s">
        <v>6500</v>
      </c>
      <c r="H23" s="483">
        <v>20</v>
      </c>
    </row>
    <row r="24" spans="1:16">
      <c r="A24" s="485"/>
      <c r="B24" s="121"/>
      <c r="L24" s="483" t="s">
        <v>1697</v>
      </c>
      <c r="P24" s="483">
        <v>30</v>
      </c>
    </row>
    <row r="25" spans="1:16">
      <c r="A25" s="485"/>
      <c r="B25" s="121"/>
      <c r="D25" s="483" t="s">
        <v>1697</v>
      </c>
    </row>
    <row r="26" spans="1:16">
      <c r="A26" s="485"/>
      <c r="B26" s="121"/>
    </row>
    <row r="27" spans="1:16">
      <c r="A27" s="485"/>
      <c r="B27" s="121"/>
      <c r="E27" s="314"/>
    </row>
    <row r="28" spans="1:16">
      <c r="A28" s="485"/>
      <c r="B28" s="485"/>
      <c r="C28" s="485"/>
    </row>
    <row r="30" spans="1:16">
      <c r="A30" s="485"/>
      <c r="B30" s="485"/>
      <c r="C30" s="485"/>
    </row>
    <row r="32" spans="1:16">
      <c r="A32" s="485"/>
      <c r="B32" s="121"/>
      <c r="C32" s="121"/>
    </row>
    <row r="33" spans="1:8">
      <c r="A33" s="485"/>
      <c r="B33" s="485"/>
      <c r="C33" s="485"/>
    </row>
    <row r="34" spans="1:8" ht="13.5" thickBot="1">
      <c r="H34" s="117">
        <f>SUM(H19:H32)</f>
        <v>63308.500000000007</v>
      </c>
    </row>
    <row r="35" spans="1:8" ht="13.5" thickTop="1"/>
    <row r="36" spans="1:8" ht="20.100000000000001" customHeight="1">
      <c r="A36" s="118" t="s">
        <v>5562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Sixty-Three Thousand Three Hundred Eight and 50/100 -----------</v>
      </c>
      <c r="C36" s="202"/>
      <c r="D36" s="119"/>
      <c r="E36" s="119"/>
      <c r="F36" s="119"/>
      <c r="G36" s="119"/>
      <c r="H36" s="261"/>
    </row>
    <row r="37" spans="1:8">
      <c r="A37" s="486" t="s">
        <v>11</v>
      </c>
    </row>
    <row r="38" spans="1:8" ht="25.5">
      <c r="A38" s="483" t="s">
        <v>10</v>
      </c>
      <c r="D38" s="441"/>
      <c r="F38" s="265" t="s">
        <v>2894</v>
      </c>
      <c r="G38" s="266"/>
      <c r="H38" s="267"/>
    </row>
    <row r="39" spans="1:8">
      <c r="D39" s="433"/>
    </row>
    <row r="40" spans="1:8">
      <c r="D40" s="433"/>
      <c r="F40" s="309"/>
      <c r="G40" s="309"/>
      <c r="H40" s="309"/>
    </row>
    <row r="41" spans="1:8">
      <c r="D41" s="433"/>
      <c r="E41" s="121"/>
      <c r="F41" s="310"/>
      <c r="G41" s="311"/>
      <c r="H41" s="311"/>
    </row>
    <row r="42" spans="1:8">
      <c r="A42" s="122"/>
      <c r="B42" s="122"/>
      <c r="D42" s="433"/>
    </row>
    <row r="43" spans="1:8">
      <c r="D43" s="433"/>
    </row>
    <row r="45" spans="1:8">
      <c r="A45" s="487" t="s">
        <v>8</v>
      </c>
      <c r="D45" s="487" t="s">
        <v>8</v>
      </c>
      <c r="F45" s="487" t="s">
        <v>7</v>
      </c>
      <c r="G45" s="124"/>
    </row>
    <row r="49" spans="1:8">
      <c r="B49" s="122"/>
      <c r="F49" s="122"/>
      <c r="G49" s="122"/>
      <c r="H49" s="122"/>
    </row>
    <row r="50" spans="1:8" s="126" customFormat="1" ht="17.100000000000001" customHeight="1">
      <c r="A50" s="316" t="s">
        <v>3441</v>
      </c>
      <c r="B50" s="125"/>
      <c r="C50" s="125"/>
      <c r="D50" s="316" t="s">
        <v>103</v>
      </c>
      <c r="F50" s="126" t="s">
        <v>3</v>
      </c>
    </row>
    <row r="51" spans="1:8">
      <c r="F51" s="483" t="s">
        <v>2</v>
      </c>
    </row>
    <row r="53" spans="1:8">
      <c r="F53" s="482" t="s">
        <v>1</v>
      </c>
    </row>
    <row r="54" spans="1:8">
      <c r="F54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5355-838F-4BAC-8EAB-4391C5D7CE2A}">
  <sheetPr codeName="Sheet603">
    <pageSetUpPr fitToPage="1"/>
  </sheetPr>
  <dimension ref="A1:H56"/>
  <sheetViews>
    <sheetView workbookViewId="0">
      <selection activeCell="G9" sqref="G9:G13"/>
    </sheetView>
  </sheetViews>
  <sheetFormatPr defaultRowHeight="12.75"/>
  <cols>
    <col min="1" max="1" width="15.85546875" style="483" customWidth="1"/>
    <col min="2" max="2" width="15.42578125" style="483" customWidth="1"/>
    <col min="3" max="3" width="1.28515625" style="483" customWidth="1"/>
    <col min="4" max="4" width="21" style="483" customWidth="1"/>
    <col min="5" max="5" width="1.28515625" style="483" customWidth="1"/>
    <col min="6" max="6" width="16.42578125" style="483" customWidth="1"/>
    <col min="7" max="7" width="8.42578125" style="483" customWidth="1"/>
    <col min="8" max="8" width="13.28515625" style="483" customWidth="1"/>
    <col min="9" max="16384" width="9.140625" style="483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483" t="s">
        <v>24</v>
      </c>
      <c r="F8" s="22" t="s">
        <v>23</v>
      </c>
    </row>
    <row r="9" spans="1:8">
      <c r="F9" s="484" t="s">
        <v>1110</v>
      </c>
      <c r="G9" s="488" t="s">
        <v>6463</v>
      </c>
    </row>
    <row r="10" spans="1:8">
      <c r="A10" s="483" t="s">
        <v>6465</v>
      </c>
      <c r="F10" s="484" t="s">
        <v>1855</v>
      </c>
      <c r="G10" s="489" t="s">
        <v>6442</v>
      </c>
    </row>
    <row r="11" spans="1:8">
      <c r="A11" s="486" t="s">
        <v>6466</v>
      </c>
      <c r="F11" s="484" t="s">
        <v>1181</v>
      </c>
      <c r="G11" s="489" t="s">
        <v>1094</v>
      </c>
    </row>
    <row r="12" spans="1:8">
      <c r="A12" s="483" t="s">
        <v>6467</v>
      </c>
      <c r="F12" s="484" t="s">
        <v>1182</v>
      </c>
      <c r="G12" s="489" t="s">
        <v>6464</v>
      </c>
    </row>
    <row r="13" spans="1:8">
      <c r="A13" s="483" t="s">
        <v>6468</v>
      </c>
    </row>
    <row r="14" spans="1:8">
      <c r="A14" s="483" t="s">
        <v>2170</v>
      </c>
    </row>
    <row r="16" spans="1:8" s="15" customFormat="1" ht="20.100000000000001" customHeight="1">
      <c r="A16" s="18" t="s">
        <v>1113</v>
      </c>
      <c r="B16" s="503" t="s">
        <v>1098</v>
      </c>
      <c r="C16" s="503"/>
      <c r="D16" s="19" t="s">
        <v>14</v>
      </c>
      <c r="E16" s="19"/>
      <c r="F16" s="18"/>
      <c r="G16" s="17"/>
      <c r="H16" s="16" t="s">
        <v>13</v>
      </c>
    </row>
    <row r="18" spans="1:8">
      <c r="A18" s="485"/>
      <c r="B18" s="485"/>
      <c r="C18" s="485"/>
      <c r="D18" s="482" t="s">
        <v>6373</v>
      </c>
      <c r="E18" s="482"/>
    </row>
    <row r="19" spans="1:8">
      <c r="A19" s="485"/>
      <c r="B19" s="485"/>
      <c r="E19" s="482"/>
    </row>
    <row r="20" spans="1:8">
      <c r="A20" s="485" t="s">
        <v>6303</v>
      </c>
      <c r="B20" s="485" t="s">
        <v>6469</v>
      </c>
      <c r="D20" s="483" t="s">
        <v>6470</v>
      </c>
      <c r="H20" s="483">
        <f>18000</f>
        <v>18000</v>
      </c>
    </row>
    <row r="21" spans="1:8">
      <c r="A21" s="485"/>
      <c r="B21" s="485"/>
      <c r="C21" s="485"/>
    </row>
    <row r="22" spans="1:8">
      <c r="A22" s="485"/>
      <c r="B22" s="485"/>
      <c r="C22" s="485"/>
    </row>
    <row r="23" spans="1:8">
      <c r="A23" s="485"/>
      <c r="B23" s="121"/>
      <c r="C23" s="121"/>
    </row>
    <row r="24" spans="1:8">
      <c r="A24" s="485"/>
      <c r="B24" s="121"/>
      <c r="C24" s="121"/>
    </row>
    <row r="25" spans="1:8">
      <c r="A25" s="485"/>
      <c r="B25" s="121"/>
      <c r="C25" s="121"/>
    </row>
    <row r="26" spans="1:8">
      <c r="A26" s="485"/>
      <c r="B26" s="121"/>
      <c r="C26" s="121"/>
    </row>
    <row r="27" spans="1:8">
      <c r="A27" s="485"/>
      <c r="B27" s="121"/>
      <c r="C27" s="121"/>
    </row>
    <row r="28" spans="1:8">
      <c r="A28" s="485"/>
      <c r="B28" s="121"/>
      <c r="C28" s="121"/>
    </row>
    <row r="29" spans="1:8">
      <c r="A29" s="485"/>
      <c r="B29" s="121"/>
      <c r="C29" s="121"/>
    </row>
    <row r="30" spans="1:8">
      <c r="A30" s="485"/>
      <c r="B30" s="121"/>
      <c r="C30" s="121"/>
      <c r="H30" s="486"/>
    </row>
    <row r="31" spans="1:8">
      <c r="A31" s="485"/>
      <c r="B31" s="121"/>
      <c r="C31" s="121"/>
    </row>
    <row r="32" spans="1:8">
      <c r="A32" s="485"/>
      <c r="B32" s="121"/>
      <c r="C32" s="121"/>
    </row>
    <row r="33" spans="1:8">
      <c r="A33" s="485"/>
      <c r="B33" s="121"/>
      <c r="C33" s="121"/>
    </row>
    <row r="34" spans="1:8">
      <c r="A34" s="485"/>
      <c r="B34" s="121"/>
      <c r="C34" s="121"/>
    </row>
    <row r="35" spans="1:8">
      <c r="A35" s="485"/>
      <c r="B35" s="121"/>
      <c r="C35" s="121"/>
    </row>
    <row r="36" spans="1:8">
      <c r="A36" s="485"/>
      <c r="B36" s="121"/>
      <c r="C36" s="121"/>
    </row>
    <row r="37" spans="1:8" ht="13.5" thickBot="1">
      <c r="H37" s="117">
        <f>SUM(H18:H36)</f>
        <v>18000</v>
      </c>
    </row>
    <row r="38" spans="1:8" ht="13.5" thickTop="1"/>
    <row r="39" spans="1:8" ht="18" customHeight="1">
      <c r="A39" s="118" t="s">
        <v>204</v>
      </c>
      <c r="B39" s="202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Eighteen Thousand and NO/100 -----------</v>
      </c>
      <c r="C39" s="202"/>
      <c r="D39" s="119"/>
      <c r="E39" s="119"/>
      <c r="F39" s="423"/>
      <c r="G39" s="423"/>
      <c r="H39" s="423"/>
    </row>
    <row r="41" spans="1:8" ht="25.5">
      <c r="A41" s="483" t="s">
        <v>10</v>
      </c>
      <c r="F41" s="265" t="s">
        <v>2894</v>
      </c>
      <c r="G41" s="266"/>
      <c r="H41" s="267"/>
    </row>
    <row r="44" spans="1:8">
      <c r="A44" s="483" t="s">
        <v>52</v>
      </c>
      <c r="D44" s="121"/>
      <c r="E44" s="121"/>
    </row>
    <row r="45" spans="1:8">
      <c r="A45" s="122"/>
      <c r="B45" s="122"/>
    </row>
    <row r="47" spans="1:8">
      <c r="A47" s="487" t="s">
        <v>8</v>
      </c>
      <c r="D47" s="487" t="s">
        <v>8</v>
      </c>
      <c r="F47" s="487" t="s">
        <v>7</v>
      </c>
      <c r="H47" s="124"/>
    </row>
    <row r="51" spans="1:8">
      <c r="A51" s="122" t="s">
        <v>51</v>
      </c>
      <c r="B51" s="122"/>
      <c r="D51" s="122" t="s">
        <v>51</v>
      </c>
      <c r="F51" s="122"/>
      <c r="G51" s="122"/>
      <c r="H51" s="122"/>
    </row>
    <row r="52" spans="1:8" s="126" customFormat="1" ht="17.100000000000001" customHeight="1">
      <c r="A52" s="483" t="s">
        <v>2948</v>
      </c>
      <c r="B52" s="125"/>
      <c r="C52" s="125"/>
      <c r="D52" s="483" t="s">
        <v>103</v>
      </c>
      <c r="F52" s="126" t="s">
        <v>3</v>
      </c>
    </row>
    <row r="53" spans="1:8">
      <c r="F53" s="483" t="s">
        <v>2</v>
      </c>
    </row>
    <row r="55" spans="1:8">
      <c r="F55" s="482" t="s">
        <v>1</v>
      </c>
    </row>
    <row r="56" spans="1:8">
      <c r="F56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09838-C3D5-4C4A-82BE-E9A3EB095140}">
  <sheetPr codeName="Sheet604">
    <pageSetUpPr fitToPage="1"/>
  </sheetPr>
  <dimension ref="A1:N54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5703125" style="483" customWidth="1"/>
    <col min="2" max="2" width="14.140625" style="483" customWidth="1"/>
    <col min="3" max="3" width="1.85546875" style="483" customWidth="1"/>
    <col min="4" max="4" width="22.140625" style="483" customWidth="1"/>
    <col min="5" max="5" width="1.140625" style="483" customWidth="1"/>
    <col min="6" max="6" width="12" style="483" customWidth="1"/>
    <col min="7" max="7" width="11.140625" style="483" customWidth="1"/>
    <col min="8" max="8" width="13.28515625" style="483" customWidth="1"/>
    <col min="9" max="16384" width="9.140625" style="483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483" t="s">
        <v>24</v>
      </c>
      <c r="F8" s="22" t="s">
        <v>23</v>
      </c>
    </row>
    <row r="9" spans="1:8">
      <c r="F9" s="484" t="s">
        <v>1239</v>
      </c>
      <c r="G9" s="483" t="s">
        <v>6506</v>
      </c>
    </row>
    <row r="10" spans="1:8">
      <c r="A10" s="483" t="s">
        <v>6508</v>
      </c>
      <c r="F10" s="484" t="s">
        <v>1124</v>
      </c>
      <c r="G10" s="484" t="s">
        <v>6501</v>
      </c>
    </row>
    <row r="11" spans="1:8">
      <c r="A11" s="483" t="s">
        <v>6509</v>
      </c>
      <c r="F11" s="484" t="s">
        <v>1125</v>
      </c>
      <c r="G11" s="484" t="s">
        <v>1094</v>
      </c>
    </row>
    <row r="12" spans="1:8">
      <c r="A12" s="483" t="s">
        <v>6510</v>
      </c>
      <c r="F12" s="484" t="s">
        <v>1126</v>
      </c>
      <c r="G12" s="484" t="s">
        <v>6507</v>
      </c>
    </row>
    <row r="13" spans="1:8">
      <c r="A13" s="483" t="s">
        <v>6511</v>
      </c>
      <c r="F13" s="484"/>
      <c r="G13" s="483" t="s">
        <v>6182</v>
      </c>
    </row>
    <row r="14" spans="1:8">
      <c r="A14" s="483" t="s">
        <v>1823</v>
      </c>
    </row>
    <row r="16" spans="1:8" s="15" customFormat="1" ht="20.100000000000001" customHeight="1">
      <c r="A16" s="18" t="s">
        <v>1140</v>
      </c>
      <c r="B16" s="506" t="s">
        <v>1098</v>
      </c>
      <c r="C16" s="506"/>
      <c r="D16" s="19" t="s">
        <v>14</v>
      </c>
      <c r="E16" s="19"/>
      <c r="F16" s="18"/>
      <c r="G16" s="16"/>
      <c r="H16" s="128" t="s">
        <v>13</v>
      </c>
    </row>
    <row r="18" spans="1:14">
      <c r="A18" s="485"/>
      <c r="B18" s="485"/>
      <c r="C18" s="485"/>
      <c r="D18" s="482" t="s">
        <v>6512</v>
      </c>
      <c r="E18" s="482"/>
    </row>
    <row r="19" spans="1:14">
      <c r="A19" s="486"/>
      <c r="D19" s="482" t="s">
        <v>6513</v>
      </c>
      <c r="E19" s="482"/>
    </row>
    <row r="20" spans="1:14">
      <c r="A20" s="485"/>
      <c r="B20" s="335"/>
      <c r="C20" s="485"/>
      <c r="E20" s="482"/>
    </row>
    <row r="21" spans="1:14">
      <c r="A21" s="485" t="s">
        <v>6514</v>
      </c>
      <c r="B21" s="485" t="s">
        <v>6515</v>
      </c>
      <c r="D21" s="483" t="s">
        <v>6516</v>
      </c>
      <c r="H21" s="483">
        <v>1800</v>
      </c>
      <c r="J21" s="483" t="s">
        <v>6502</v>
      </c>
      <c r="N21" s="483">
        <f>400+1800+1800+400</f>
        <v>4400</v>
      </c>
    </row>
    <row r="22" spans="1:14">
      <c r="A22" s="484"/>
      <c r="B22" s="485"/>
      <c r="C22" s="485"/>
      <c r="D22" s="483" t="s">
        <v>6517</v>
      </c>
      <c r="J22" s="483" t="s">
        <v>6503</v>
      </c>
      <c r="N22" s="483">
        <v>500</v>
      </c>
    </row>
    <row r="23" spans="1:14">
      <c r="A23" s="485"/>
      <c r="B23" s="485"/>
      <c r="C23" s="485"/>
      <c r="J23" s="483" t="s">
        <v>6504</v>
      </c>
      <c r="N23" s="483">
        <f>374+371+371</f>
        <v>1116</v>
      </c>
    </row>
    <row r="24" spans="1:14">
      <c r="A24" s="485"/>
      <c r="B24" s="121"/>
      <c r="C24" s="121"/>
      <c r="J24" s="483" t="s">
        <v>6505</v>
      </c>
      <c r="N24" s="483">
        <v>750</v>
      </c>
    </row>
    <row r="26" spans="1:14">
      <c r="A26" s="485"/>
      <c r="B26" s="121"/>
      <c r="C26" s="121"/>
    </row>
    <row r="27" spans="1:14">
      <c r="B27" s="486"/>
      <c r="C27" s="486"/>
    </row>
    <row r="28" spans="1:14">
      <c r="B28" s="486"/>
      <c r="C28" s="486"/>
    </row>
    <row r="29" spans="1:14">
      <c r="B29" s="486"/>
      <c r="C29" s="486"/>
    </row>
    <row r="30" spans="1:14">
      <c r="B30" s="486"/>
      <c r="C30" s="486"/>
    </row>
    <row r="31" spans="1:14">
      <c r="A31" s="485"/>
      <c r="B31" s="121"/>
      <c r="C31" s="121"/>
    </row>
    <row r="32" spans="1:14">
      <c r="B32" s="486"/>
      <c r="C32" s="486"/>
    </row>
    <row r="33" spans="1:8">
      <c r="B33" s="486"/>
      <c r="C33" s="486"/>
    </row>
    <row r="34" spans="1:8">
      <c r="B34" s="486"/>
      <c r="C34" s="486"/>
    </row>
    <row r="35" spans="1:8" ht="13.5" thickBot="1">
      <c r="H35" s="117">
        <f>SUM(H18:H33)</f>
        <v>1800</v>
      </c>
    </row>
    <row r="36" spans="1:8" ht="13.5" thickTop="1"/>
    <row r="37" spans="1:8" ht="20.100000000000001" customHeight="1">
      <c r="A37" s="118" t="s">
        <v>5562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Eight Hundred and NO/100 -----------</v>
      </c>
      <c r="C37" s="202"/>
      <c r="D37" s="119"/>
      <c r="E37" s="119"/>
      <c r="F37" s="119"/>
      <c r="G37" s="119"/>
      <c r="H37" s="261"/>
    </row>
    <row r="38" spans="1:8">
      <c r="A38" s="486" t="s">
        <v>11</v>
      </c>
    </row>
    <row r="39" spans="1:8" ht="25.5">
      <c r="A39" s="483" t="s">
        <v>10</v>
      </c>
      <c r="F39" s="265" t="s">
        <v>2894</v>
      </c>
      <c r="G39" s="266"/>
      <c r="H39" s="267"/>
    </row>
    <row r="41" spans="1:8">
      <c r="F41" s="309"/>
      <c r="G41" s="309"/>
      <c r="H41" s="309"/>
    </row>
    <row r="42" spans="1:8">
      <c r="D42" s="121"/>
      <c r="E42" s="121"/>
      <c r="F42" s="310"/>
      <c r="G42" s="311"/>
      <c r="H42" s="311"/>
    </row>
    <row r="43" spans="1:8">
      <c r="A43" s="122"/>
      <c r="B43" s="122"/>
    </row>
    <row r="45" spans="1:8">
      <c r="A45" s="487" t="s">
        <v>8</v>
      </c>
      <c r="D45" s="487" t="s">
        <v>8</v>
      </c>
      <c r="F45" s="487" t="s">
        <v>7</v>
      </c>
      <c r="G45" s="124"/>
    </row>
    <row r="49" spans="1:8">
      <c r="A49" s="122"/>
      <c r="B49" s="122"/>
      <c r="D49" s="122"/>
      <c r="F49" s="122"/>
      <c r="G49" s="122"/>
      <c r="H49" s="122"/>
    </row>
    <row r="50" spans="1:8" s="126" customFormat="1" ht="17.100000000000001" customHeight="1">
      <c r="A50" s="483" t="s">
        <v>2948</v>
      </c>
      <c r="B50" s="125"/>
      <c r="C50" s="125"/>
      <c r="D50" s="483" t="s">
        <v>103</v>
      </c>
      <c r="F50" s="126" t="s">
        <v>3</v>
      </c>
    </row>
    <row r="51" spans="1:8">
      <c r="F51" s="483" t="s">
        <v>2</v>
      </c>
    </row>
    <row r="53" spans="1:8">
      <c r="F53" s="482" t="s">
        <v>1</v>
      </c>
    </row>
    <row r="54" spans="1:8">
      <c r="F54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95E99-C598-48A2-9889-8E40C9E29211}">
  <sheetPr codeName="Sheet611"/>
  <dimension ref="A1:R6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3.42578125" style="1" customWidth="1"/>
    <col min="7" max="7" width="10.140625" style="1" customWidth="1"/>
    <col min="8" max="8" width="13.28515625" style="1" customWidth="1"/>
    <col min="9" max="14" width="9.140625" style="1"/>
    <col min="15" max="15" width="11.5703125" style="1" bestFit="1" customWidth="1"/>
    <col min="16" max="17" width="9.140625" style="1"/>
    <col min="18" max="18" width="10.140625" style="1" bestFit="1" customWidth="1"/>
    <col min="19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  <c r="K3" s="483" t="s">
        <v>6112</v>
      </c>
      <c r="L3" s="483"/>
      <c r="M3" s="483"/>
      <c r="N3" s="483"/>
      <c r="O3" s="483">
        <f>9300*3.0631</f>
        <v>28486.829999999998</v>
      </c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  <c r="K4" s="483" t="s">
        <v>6113</v>
      </c>
      <c r="O4" s="483"/>
    </row>
    <row r="5" spans="1:15">
      <c r="K5" s="167" t="s">
        <v>4504</v>
      </c>
      <c r="O5" s="483"/>
    </row>
    <row r="7" spans="1:15">
      <c r="K7" s="483" t="s">
        <v>1697</v>
      </c>
      <c r="O7" s="483">
        <v>10</v>
      </c>
    </row>
    <row r="8" spans="1:15">
      <c r="A8" s="483" t="s">
        <v>24</v>
      </c>
      <c r="B8" s="483"/>
      <c r="C8" s="483"/>
      <c r="D8" s="483"/>
      <c r="E8" s="483"/>
      <c r="F8" s="22" t="s">
        <v>23</v>
      </c>
      <c r="G8" s="483"/>
      <c r="H8" s="483"/>
      <c r="K8" s="483"/>
      <c r="L8" s="483"/>
      <c r="M8" s="483"/>
      <c r="N8" s="483"/>
      <c r="O8" s="483"/>
    </row>
    <row r="9" spans="1:15">
      <c r="A9" s="483"/>
      <c r="B9" s="483"/>
      <c r="C9" s="483"/>
      <c r="D9" s="483"/>
      <c r="E9" s="483"/>
      <c r="F9" s="484" t="s">
        <v>22</v>
      </c>
      <c r="G9" s="483" t="s">
        <v>6548</v>
      </c>
      <c r="H9" s="483"/>
      <c r="K9" s="483"/>
      <c r="L9" s="483"/>
      <c r="M9" s="483"/>
      <c r="N9" s="483"/>
      <c r="O9" s="483"/>
    </row>
    <row r="10" spans="1:15">
      <c r="A10" s="483" t="s">
        <v>6549</v>
      </c>
      <c r="B10" s="483"/>
      <c r="C10" s="483"/>
      <c r="D10" s="483"/>
      <c r="E10" s="483"/>
      <c r="F10" s="484" t="s">
        <v>21</v>
      </c>
      <c r="G10" s="484" t="s">
        <v>6518</v>
      </c>
      <c r="H10" s="483"/>
      <c r="I10" s="1" t="s">
        <v>6548</v>
      </c>
      <c r="J10" s="21">
        <v>43888</v>
      </c>
      <c r="K10" s="483" t="s">
        <v>5345</v>
      </c>
      <c r="L10" s="483"/>
      <c r="M10" s="483"/>
    </row>
    <row r="11" spans="1:15">
      <c r="A11" s="483" t="s">
        <v>6550</v>
      </c>
      <c r="B11" s="483"/>
      <c r="C11" s="483"/>
      <c r="D11" s="483"/>
      <c r="E11" s="483"/>
      <c r="F11" s="484" t="s">
        <v>19</v>
      </c>
      <c r="G11" s="484" t="s">
        <v>1094</v>
      </c>
      <c r="H11" s="483"/>
      <c r="J11" s="336"/>
      <c r="K11" s="483" t="s">
        <v>5346</v>
      </c>
    </row>
    <row r="12" spans="1:15">
      <c r="A12" s="483" t="s">
        <v>6551</v>
      </c>
      <c r="B12" s="483"/>
      <c r="C12" s="483"/>
      <c r="D12" s="483"/>
      <c r="E12" s="483"/>
      <c r="F12" s="484" t="s">
        <v>17</v>
      </c>
      <c r="G12" s="486" t="s">
        <v>1270</v>
      </c>
      <c r="H12" s="483"/>
      <c r="K12" s="483"/>
    </row>
    <row r="13" spans="1:15">
      <c r="A13" s="483"/>
      <c r="B13" s="483"/>
      <c r="C13" s="483"/>
      <c r="D13" s="483"/>
      <c r="E13" s="483"/>
      <c r="F13" s="483"/>
      <c r="G13" s="488"/>
      <c r="H13" s="483"/>
      <c r="K13" s="483" t="s">
        <v>1697</v>
      </c>
    </row>
    <row r="14" spans="1:15">
      <c r="A14" s="483"/>
      <c r="B14" s="483"/>
      <c r="C14" s="483"/>
      <c r="D14" s="483"/>
      <c r="E14" s="483"/>
      <c r="F14" s="483"/>
      <c r="G14" s="488"/>
      <c r="H14" s="483"/>
    </row>
    <row r="15" spans="1:15">
      <c r="A15" s="483"/>
      <c r="B15" s="483"/>
      <c r="C15" s="483"/>
      <c r="D15" s="483"/>
      <c r="E15" s="483"/>
      <c r="F15" s="483"/>
      <c r="G15" s="483"/>
      <c r="H15" s="483"/>
      <c r="K15" s="483" t="s">
        <v>5347</v>
      </c>
      <c r="L15" s="483"/>
      <c r="M15" s="483"/>
      <c r="N15" s="483"/>
      <c r="O15" s="483">
        <f>4050*2.9926996</f>
        <v>12120.43338</v>
      </c>
    </row>
    <row r="16" spans="1:15" s="15" customFormat="1" ht="20.100000000000001" customHeight="1">
      <c r="A16" s="18" t="s">
        <v>1140</v>
      </c>
      <c r="B16" s="507" t="s">
        <v>1098</v>
      </c>
      <c r="C16" s="507"/>
      <c r="D16" s="19" t="s">
        <v>14</v>
      </c>
      <c r="E16" s="19"/>
      <c r="F16" s="18"/>
      <c r="G16" s="17"/>
      <c r="H16" s="16" t="s">
        <v>13</v>
      </c>
      <c r="K16" s="483"/>
      <c r="L16" s="1"/>
      <c r="M16" s="1"/>
      <c r="N16" s="1"/>
      <c r="O16" s="483"/>
    </row>
    <row r="17" spans="1:18">
      <c r="A17" s="483"/>
      <c r="B17" s="483"/>
      <c r="C17" s="483"/>
      <c r="D17" s="483"/>
      <c r="E17" s="483"/>
      <c r="F17" s="483"/>
      <c r="G17" s="483"/>
      <c r="H17" s="483"/>
      <c r="K17" s="483" t="s">
        <v>5348</v>
      </c>
      <c r="O17" s="483"/>
    </row>
    <row r="18" spans="1:18">
      <c r="A18" s="483"/>
      <c r="B18" s="483"/>
      <c r="C18" s="483"/>
      <c r="D18" s="482" t="s">
        <v>4157</v>
      </c>
      <c r="E18" s="482"/>
      <c r="F18" s="483"/>
      <c r="G18" s="483"/>
      <c r="H18" s="483"/>
    </row>
    <row r="19" spans="1:18">
      <c r="A19" s="483"/>
      <c r="B19" s="483"/>
      <c r="C19" s="483"/>
      <c r="D19" s="482"/>
      <c r="E19" s="482"/>
      <c r="F19" s="483"/>
      <c r="G19" s="483"/>
      <c r="H19" s="483"/>
      <c r="K19" s="483" t="s">
        <v>5349</v>
      </c>
      <c r="L19" s="483"/>
      <c r="M19" s="483"/>
      <c r="N19" s="483"/>
      <c r="O19" s="483">
        <f>9300*2.9926996</f>
        <v>27832.10628</v>
      </c>
    </row>
    <row r="20" spans="1:18" ht="25.5">
      <c r="A20" s="485" t="s">
        <v>6552</v>
      </c>
      <c r="B20" s="510" t="s">
        <v>6553</v>
      </c>
      <c r="C20" s="485"/>
      <c r="D20" s="483" t="s">
        <v>6554</v>
      </c>
      <c r="E20" s="483"/>
      <c r="F20" s="483"/>
      <c r="G20" s="483"/>
      <c r="H20" s="149">
        <f>30000000*0.000313</f>
        <v>9390</v>
      </c>
      <c r="K20" s="483"/>
      <c r="L20" s="483"/>
      <c r="M20" s="483"/>
      <c r="N20" s="483"/>
      <c r="O20" s="483"/>
    </row>
    <row r="21" spans="1:18">
      <c r="A21" s="483"/>
      <c r="B21" s="486"/>
      <c r="C21" s="486"/>
      <c r="D21" s="483" t="s">
        <v>6555</v>
      </c>
      <c r="H21" s="483"/>
      <c r="K21" s="483" t="s">
        <v>5350</v>
      </c>
      <c r="L21" s="483"/>
      <c r="O21" s="483"/>
    </row>
    <row r="22" spans="1:18">
      <c r="A22" s="485"/>
      <c r="B22" s="485"/>
      <c r="D22" s="483"/>
      <c r="E22" s="483"/>
      <c r="F22" s="483"/>
      <c r="G22" s="483"/>
      <c r="H22" s="149"/>
      <c r="K22" s="483" t="s">
        <v>2831</v>
      </c>
      <c r="O22" s="483">
        <v>10</v>
      </c>
    </row>
    <row r="23" spans="1:18">
      <c r="A23" s="485"/>
      <c r="B23" s="485"/>
      <c r="C23" s="486"/>
      <c r="D23" s="483" t="s">
        <v>6556</v>
      </c>
      <c r="H23" s="483"/>
      <c r="K23" s="483"/>
      <c r="L23" s="483"/>
    </row>
    <row r="24" spans="1:18">
      <c r="A24" s="485"/>
      <c r="B24" s="485"/>
      <c r="C24" s="485"/>
      <c r="D24" s="167"/>
      <c r="E24" s="483"/>
      <c r="F24" s="483"/>
      <c r="G24" s="483"/>
      <c r="H24" s="483"/>
      <c r="K24" s="483" t="s">
        <v>5351</v>
      </c>
      <c r="L24" s="483"/>
      <c r="M24" s="483"/>
      <c r="N24" s="483"/>
      <c r="O24" s="483">
        <f>9300*3.0413</f>
        <v>28284.09</v>
      </c>
    </row>
    <row r="25" spans="1:18">
      <c r="A25" s="483"/>
      <c r="B25" s="483"/>
      <c r="C25" s="483"/>
      <c r="D25" s="483" t="s">
        <v>1697</v>
      </c>
      <c r="E25" s="483"/>
      <c r="F25" s="483"/>
      <c r="G25" s="483"/>
      <c r="H25" s="483">
        <v>20</v>
      </c>
      <c r="K25" s="483" t="s">
        <v>5352</v>
      </c>
      <c r="O25" s="483"/>
    </row>
    <row r="26" spans="1:18">
      <c r="A26" s="483"/>
      <c r="B26" s="483"/>
      <c r="C26" s="483"/>
      <c r="D26" s="483"/>
      <c r="E26" s="483"/>
      <c r="F26" s="483"/>
      <c r="G26" s="483"/>
      <c r="H26" s="483"/>
      <c r="K26" s="483"/>
      <c r="O26" s="483"/>
    </row>
    <row r="27" spans="1:18">
      <c r="A27" s="483"/>
      <c r="B27" s="483"/>
      <c r="C27" s="483"/>
      <c r="D27" s="483"/>
      <c r="E27" s="483"/>
      <c r="F27" s="483"/>
      <c r="G27" s="483"/>
      <c r="H27" s="483"/>
      <c r="K27" s="483" t="s">
        <v>5353</v>
      </c>
      <c r="O27" s="483">
        <f>4050*3.0413</f>
        <v>12317.265000000001</v>
      </c>
    </row>
    <row r="28" spans="1:18">
      <c r="A28" s="483"/>
      <c r="B28" s="483"/>
      <c r="C28" s="483"/>
      <c r="D28" s="483"/>
      <c r="E28" s="483"/>
      <c r="F28" s="483"/>
      <c r="G28" s="483"/>
      <c r="H28" s="483"/>
      <c r="K28" s="483" t="s">
        <v>5354</v>
      </c>
      <c r="L28" s="483"/>
      <c r="M28" s="483"/>
      <c r="N28" s="483"/>
      <c r="O28" s="483"/>
    </row>
    <row r="29" spans="1:18">
      <c r="A29" s="485"/>
      <c r="B29" s="485"/>
      <c r="C29" s="486"/>
      <c r="D29" s="483"/>
      <c r="E29" s="483"/>
      <c r="H29" s="483"/>
      <c r="K29" s="485" t="s">
        <v>6114</v>
      </c>
      <c r="L29" s="485" t="s">
        <v>6115</v>
      </c>
      <c r="M29" s="486"/>
      <c r="N29" s="483" t="s">
        <v>6116</v>
      </c>
      <c r="R29" s="483">
        <f>18200*3.0647</f>
        <v>55777.54</v>
      </c>
    </row>
    <row r="30" spans="1:18">
      <c r="A30" s="483"/>
      <c r="B30" s="483"/>
      <c r="C30" s="483"/>
      <c r="D30" s="483"/>
      <c r="K30" s="485"/>
      <c r="L30" s="485"/>
      <c r="M30" s="485"/>
      <c r="N30" s="483" t="s">
        <v>6117</v>
      </c>
      <c r="O30" s="483"/>
      <c r="P30" s="483"/>
      <c r="Q30" s="483"/>
      <c r="R30" s="483"/>
    </row>
    <row r="31" spans="1:18">
      <c r="A31" s="483"/>
      <c r="B31" s="483"/>
      <c r="C31" s="483"/>
      <c r="D31" s="483"/>
      <c r="H31" s="483"/>
      <c r="K31" s="485" t="s">
        <v>6114</v>
      </c>
      <c r="L31" s="485" t="s">
        <v>6118</v>
      </c>
      <c r="M31" s="486"/>
      <c r="N31" s="483" t="s">
        <v>6119</v>
      </c>
      <c r="O31" s="483"/>
      <c r="R31" s="483">
        <f>3000*3.0647</f>
        <v>9194.1</v>
      </c>
    </row>
    <row r="32" spans="1:18">
      <c r="A32" s="483"/>
      <c r="B32" s="483"/>
      <c r="C32" s="483"/>
    </row>
    <row r="33" spans="1:15">
      <c r="A33" s="483"/>
      <c r="B33" s="483"/>
      <c r="C33" s="483"/>
    </row>
    <row r="34" spans="1:15">
      <c r="A34" s="483"/>
      <c r="B34" s="483"/>
      <c r="C34" s="483"/>
    </row>
    <row r="35" spans="1:15">
      <c r="A35" s="483"/>
      <c r="B35" s="483"/>
      <c r="C35" s="483"/>
      <c r="D35" s="483"/>
      <c r="E35" s="483"/>
      <c r="F35" s="483"/>
      <c r="G35" s="483"/>
      <c r="H35" s="483"/>
      <c r="K35" s="483" t="s">
        <v>6335</v>
      </c>
      <c r="L35" s="483"/>
      <c r="M35" s="483"/>
      <c r="N35" s="483"/>
      <c r="O35" s="483">
        <f>18200*3.0812</f>
        <v>56077.84</v>
      </c>
    </row>
    <row r="36" spans="1:15" ht="13.5" thickBot="1">
      <c r="A36" s="483"/>
      <c r="B36" s="483"/>
      <c r="C36" s="483"/>
      <c r="D36" s="483"/>
      <c r="E36" s="483"/>
      <c r="F36" s="483"/>
      <c r="G36" s="483"/>
      <c r="H36" s="117">
        <f>SUM(H18:H35)</f>
        <v>9410</v>
      </c>
      <c r="K36" s="483" t="s">
        <v>6336</v>
      </c>
      <c r="O36" s="483"/>
    </row>
    <row r="37" spans="1:15" ht="13.5" thickTop="1">
      <c r="A37" s="483"/>
      <c r="B37" s="483"/>
      <c r="C37" s="483"/>
      <c r="D37" s="483"/>
      <c r="E37" s="483"/>
      <c r="K37" s="167"/>
      <c r="O37" s="483"/>
    </row>
    <row r="38" spans="1:15" ht="21.75" customHeight="1">
      <c r="A38" s="118" t="s">
        <v>204</v>
      </c>
      <c r="B38" s="204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Nine Thousand Four Hundred Ten and NO/100 -----------</v>
      </c>
      <c r="C38" s="204"/>
      <c r="D38" s="119"/>
      <c r="E38" s="119"/>
      <c r="F38" s="119"/>
      <c r="G38" s="119"/>
      <c r="H38" s="119"/>
      <c r="K38" s="483" t="s">
        <v>6337</v>
      </c>
      <c r="O38" s="483">
        <f>3000*3.0812</f>
        <v>9243.6</v>
      </c>
    </row>
    <row r="39" spans="1:15">
      <c r="A39" s="160"/>
      <c r="B39" s="494"/>
      <c r="C39" s="494"/>
      <c r="D39" s="126"/>
      <c r="E39" s="126"/>
      <c r="F39" s="126"/>
      <c r="G39" s="126"/>
      <c r="H39" s="126"/>
      <c r="K39" s="483" t="s">
        <v>6338</v>
      </c>
      <c r="O39" s="483"/>
    </row>
    <row r="40" spans="1:15" ht="25.5">
      <c r="A40" s="486" t="s">
        <v>3060</v>
      </c>
      <c r="B40" s="483"/>
      <c r="C40" s="483"/>
      <c r="D40" s="441"/>
      <c r="E40" s="483"/>
      <c r="F40" s="265" t="s">
        <v>2894</v>
      </c>
      <c r="G40" s="266"/>
      <c r="H40" s="267"/>
      <c r="K40" s="483"/>
      <c r="L40" s="483"/>
      <c r="M40" s="483"/>
      <c r="N40" s="483"/>
      <c r="O40" s="483"/>
    </row>
    <row r="41" spans="1:15">
      <c r="A41" s="483"/>
      <c r="B41" s="483"/>
      <c r="C41" s="483"/>
      <c r="D41" s="433"/>
      <c r="E41" s="483"/>
      <c r="F41" s="310"/>
      <c r="G41" s="311"/>
      <c r="H41" s="311"/>
      <c r="K41" s="1" t="s">
        <v>6546</v>
      </c>
      <c r="O41" s="1">
        <v>28827.21</v>
      </c>
    </row>
    <row r="42" spans="1:15">
      <c r="B42" s="483"/>
      <c r="C42" s="483"/>
      <c r="D42" s="433"/>
      <c r="E42" s="483"/>
      <c r="F42" s="483"/>
      <c r="G42" s="483"/>
      <c r="H42" s="483"/>
      <c r="K42" s="1" t="s">
        <v>6547</v>
      </c>
    </row>
    <row r="43" spans="1:15">
      <c r="A43" s="483"/>
      <c r="B43" s="483"/>
      <c r="C43" s="483"/>
      <c r="D43" s="433"/>
      <c r="E43" s="483"/>
      <c r="F43" s="483"/>
      <c r="G43" s="483"/>
      <c r="H43" s="483"/>
    </row>
    <row r="44" spans="1:15">
      <c r="A44" s="122"/>
      <c r="B44" s="122"/>
      <c r="C44" s="483"/>
      <c r="D44" s="433"/>
      <c r="E44" s="483"/>
      <c r="F44" s="483"/>
      <c r="G44" s="483"/>
      <c r="H44" s="483"/>
    </row>
    <row r="45" spans="1:15">
      <c r="A45" s="483"/>
      <c r="B45" s="483"/>
      <c r="C45" s="483"/>
      <c r="D45" s="442"/>
      <c r="E45" s="483"/>
      <c r="F45" s="483"/>
      <c r="G45" s="483"/>
      <c r="H45" s="483"/>
    </row>
    <row r="46" spans="1:15">
      <c r="A46" s="483"/>
      <c r="B46" s="483"/>
      <c r="C46" s="483"/>
      <c r="D46" s="151"/>
      <c r="E46" s="483"/>
      <c r="F46" s="483"/>
      <c r="G46" s="483"/>
      <c r="H46" s="483"/>
    </row>
    <row r="47" spans="1:15">
      <c r="A47" s="487" t="s">
        <v>8</v>
      </c>
      <c r="B47" s="483"/>
      <c r="C47" s="483"/>
      <c r="D47" s="487" t="s">
        <v>8</v>
      </c>
      <c r="E47" s="483"/>
      <c r="F47" s="487" t="s">
        <v>7</v>
      </c>
      <c r="G47" s="483"/>
      <c r="H47" s="124"/>
    </row>
    <row r="48" spans="1:15">
      <c r="A48" s="483"/>
      <c r="B48" s="483"/>
      <c r="C48" s="483"/>
      <c r="D48" s="483"/>
      <c r="E48" s="483"/>
      <c r="F48" s="483"/>
      <c r="G48" s="483"/>
      <c r="H48" s="483"/>
    </row>
    <row r="49" spans="1:8" s="3" customFormat="1" ht="17.100000000000001" customHeight="1">
      <c r="A49" s="483"/>
      <c r="B49" s="483"/>
      <c r="C49" s="483"/>
      <c r="D49" s="483"/>
      <c r="E49" s="483"/>
      <c r="F49" s="483"/>
      <c r="G49" s="483"/>
      <c r="H49" s="483"/>
    </row>
    <row r="50" spans="1:8">
      <c r="A50" s="483"/>
      <c r="B50" s="483"/>
      <c r="C50" s="483"/>
      <c r="D50" s="483"/>
      <c r="E50" s="483"/>
      <c r="F50" s="483"/>
      <c r="G50" s="483"/>
      <c r="H50" s="483"/>
    </row>
    <row r="51" spans="1:8">
      <c r="A51" s="122"/>
      <c r="B51" s="122"/>
      <c r="C51" s="483"/>
      <c r="D51" s="122"/>
      <c r="E51" s="483"/>
      <c r="F51" s="122"/>
      <c r="G51" s="122"/>
      <c r="H51" s="122"/>
    </row>
    <row r="52" spans="1:8">
      <c r="A52" s="151" t="s">
        <v>2948</v>
      </c>
      <c r="B52" s="125"/>
      <c r="C52" s="125"/>
      <c r="D52" s="151" t="s">
        <v>103</v>
      </c>
      <c r="E52" s="126"/>
      <c r="F52" s="126" t="s">
        <v>3</v>
      </c>
      <c r="G52" s="126"/>
      <c r="H52" s="126"/>
    </row>
    <row r="53" spans="1:8">
      <c r="A53" s="483"/>
      <c r="B53" s="483"/>
      <c r="C53" s="483"/>
      <c r="D53" s="483"/>
      <c r="E53" s="483"/>
      <c r="F53" s="483" t="s">
        <v>2</v>
      </c>
      <c r="G53" s="483"/>
      <c r="H53" s="483"/>
    </row>
    <row r="54" spans="1:8">
      <c r="A54" s="483"/>
      <c r="B54" s="483"/>
      <c r="C54" s="483"/>
      <c r="D54" s="483"/>
      <c r="E54" s="483"/>
      <c r="F54" s="483"/>
      <c r="G54" s="483"/>
      <c r="H54" s="483"/>
    </row>
    <row r="55" spans="1:8">
      <c r="A55" s="483"/>
      <c r="B55" s="483"/>
      <c r="C55" s="483"/>
      <c r="D55" s="483"/>
      <c r="E55" s="483"/>
      <c r="F55" s="482" t="s">
        <v>1</v>
      </c>
      <c r="G55" s="483"/>
      <c r="H55" s="483"/>
    </row>
    <row r="56" spans="1:8">
      <c r="A56" s="483"/>
      <c r="B56" s="483"/>
      <c r="C56" s="483"/>
      <c r="D56" s="483"/>
      <c r="E56" s="483"/>
      <c r="F56" s="482" t="s">
        <v>0</v>
      </c>
      <c r="G56" s="483"/>
      <c r="H56" s="483"/>
    </row>
    <row r="57" spans="1:8">
      <c r="A57" s="483"/>
      <c r="B57" s="483"/>
      <c r="C57" s="483"/>
      <c r="D57" s="483"/>
      <c r="E57" s="483"/>
      <c r="F57" s="483"/>
      <c r="G57" s="483"/>
      <c r="H57" s="483"/>
    </row>
    <row r="58" spans="1:8">
      <c r="A58" s="483"/>
      <c r="B58" s="483"/>
      <c r="C58" s="483"/>
      <c r="D58" s="483"/>
      <c r="E58" s="483"/>
      <c r="F58" s="483"/>
      <c r="G58" s="483"/>
      <c r="H58" s="483"/>
    </row>
    <row r="59" spans="1:8">
      <c r="A59" s="483"/>
      <c r="B59" s="483"/>
      <c r="C59" s="483"/>
      <c r="D59" s="483"/>
      <c r="E59" s="483"/>
      <c r="F59" s="483"/>
      <c r="G59" s="483"/>
      <c r="H59" s="483"/>
    </row>
    <row r="60" spans="1:8">
      <c r="A60" s="483"/>
      <c r="B60" s="483"/>
      <c r="C60" s="483"/>
      <c r="D60" s="483"/>
      <c r="E60" s="483"/>
      <c r="F60" s="483"/>
      <c r="G60" s="483"/>
      <c r="H60" s="483"/>
    </row>
    <row r="61" spans="1:8">
      <c r="A61" s="483"/>
      <c r="B61" s="483"/>
      <c r="C61" s="483"/>
      <c r="D61" s="483"/>
      <c r="E61" s="483"/>
      <c r="F61" s="483"/>
      <c r="G61" s="483"/>
      <c r="H61" s="483"/>
    </row>
    <row r="62" spans="1:8">
      <c r="A62" s="483"/>
      <c r="B62" s="483"/>
      <c r="C62" s="483"/>
      <c r="D62" s="483"/>
      <c r="E62" s="483"/>
      <c r="F62" s="483"/>
      <c r="G62" s="483"/>
      <c r="H62" s="483"/>
    </row>
    <row r="63" spans="1:8">
      <c r="A63" s="483"/>
      <c r="B63" s="483"/>
      <c r="C63" s="483"/>
      <c r="D63" s="483"/>
      <c r="E63" s="483"/>
      <c r="F63" s="483"/>
      <c r="G63" s="483"/>
      <c r="H63" s="483"/>
    </row>
    <row r="64" spans="1:8">
      <c r="A64" s="483"/>
      <c r="B64" s="483"/>
      <c r="C64" s="483"/>
      <c r="D64" s="483"/>
      <c r="E64" s="483"/>
      <c r="F64" s="483"/>
      <c r="G64" s="483"/>
      <c r="H64" s="483"/>
    </row>
    <row r="65" spans="1:8">
      <c r="A65" s="483"/>
      <c r="B65" s="483"/>
      <c r="C65" s="483"/>
      <c r="D65" s="483"/>
      <c r="E65" s="483"/>
      <c r="F65" s="483"/>
      <c r="G65" s="483"/>
      <c r="H65" s="483"/>
    </row>
    <row r="66" spans="1:8">
      <c r="A66" s="483"/>
      <c r="B66" s="483"/>
      <c r="C66" s="483"/>
      <c r="D66" s="483"/>
      <c r="E66" s="483"/>
      <c r="F66" s="483"/>
      <c r="G66" s="483"/>
      <c r="H66" s="48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87A46-C8BA-4699-9BAC-631C55386960}">
  <sheetPr codeName="Sheet612">
    <pageSetUpPr fitToPage="1"/>
  </sheetPr>
  <dimension ref="A1:M55"/>
  <sheetViews>
    <sheetView topLeftCell="A13" workbookViewId="0">
      <selection activeCell="G9" sqref="G9:G13"/>
    </sheetView>
  </sheetViews>
  <sheetFormatPr defaultRowHeight="12.75"/>
  <cols>
    <col min="1" max="1" width="16.28515625" style="483" customWidth="1"/>
    <col min="2" max="2" width="12.28515625" style="483" customWidth="1"/>
    <col min="3" max="3" width="1.140625" style="483" customWidth="1"/>
    <col min="4" max="4" width="22.42578125" style="483" customWidth="1"/>
    <col min="5" max="5" width="0.85546875" style="483" customWidth="1"/>
    <col min="6" max="6" width="13.140625" style="483" customWidth="1"/>
    <col min="7" max="7" width="10.5703125" style="483" customWidth="1"/>
    <col min="8" max="8" width="13.140625" style="483" customWidth="1"/>
    <col min="9" max="10" width="9.140625" style="483"/>
    <col min="11" max="11" width="12.28515625" style="483" bestFit="1" customWidth="1"/>
    <col min="12" max="12" width="9.140625" style="483"/>
    <col min="13" max="13" width="11.140625" style="483" bestFit="1" customWidth="1"/>
    <col min="14" max="16384" width="9.140625" style="483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483" t="s">
        <v>24</v>
      </c>
      <c r="F8" s="22" t="s">
        <v>23</v>
      </c>
    </row>
    <row r="9" spans="1:8">
      <c r="A9" s="482" t="s">
        <v>6616</v>
      </c>
      <c r="F9" s="484" t="s">
        <v>1134</v>
      </c>
      <c r="G9" s="483" t="s">
        <v>6621</v>
      </c>
    </row>
    <row r="10" spans="1:8">
      <c r="A10" s="483" t="s">
        <v>6617</v>
      </c>
      <c r="F10" s="484" t="s">
        <v>1162</v>
      </c>
      <c r="G10" s="484" t="s">
        <v>6622</v>
      </c>
    </row>
    <row r="11" spans="1:8">
      <c r="A11" s="483" t="s">
        <v>6618</v>
      </c>
      <c r="F11" s="484" t="s">
        <v>1187</v>
      </c>
      <c r="G11" s="484" t="s">
        <v>1094</v>
      </c>
    </row>
    <row r="12" spans="1:8">
      <c r="A12" s="483" t="s">
        <v>6619</v>
      </c>
      <c r="F12" s="484" t="s">
        <v>2148</v>
      </c>
      <c r="G12" s="484" t="s">
        <v>1270</v>
      </c>
    </row>
    <row r="13" spans="1:8">
      <c r="A13" s="483" t="s">
        <v>6620</v>
      </c>
    </row>
    <row r="16" spans="1:8" s="15" customFormat="1" ht="20.100000000000001" customHeight="1">
      <c r="A16" s="18" t="s">
        <v>1193</v>
      </c>
      <c r="B16" s="511" t="s">
        <v>1098</v>
      </c>
      <c r="C16" s="511"/>
      <c r="D16" s="19" t="s">
        <v>14</v>
      </c>
      <c r="E16" s="19"/>
      <c r="F16" s="18"/>
      <c r="G16" s="17"/>
      <c r="H16" s="16" t="s">
        <v>13</v>
      </c>
    </row>
    <row r="17" spans="1:13">
      <c r="M17" s="512"/>
    </row>
    <row r="18" spans="1:13">
      <c r="A18" s="485"/>
      <c r="B18" s="121"/>
      <c r="C18" s="121"/>
      <c r="D18" s="168" t="s">
        <v>4157</v>
      </c>
      <c r="E18" s="168"/>
    </row>
    <row r="20" spans="1:13">
      <c r="A20" s="485" t="s">
        <v>6623</v>
      </c>
      <c r="B20" s="485" t="s">
        <v>6624</v>
      </c>
      <c r="C20" s="485"/>
      <c r="D20" s="483" t="s">
        <v>6625</v>
      </c>
      <c r="H20" s="483">
        <f>4200000*0.000308</f>
        <v>1293.6000000000001</v>
      </c>
    </row>
    <row r="21" spans="1:13">
      <c r="D21" s="483" t="s">
        <v>6626</v>
      </c>
    </row>
    <row r="22" spans="1:13">
      <c r="A22" s="485"/>
      <c r="B22" s="121"/>
      <c r="C22" s="121"/>
      <c r="D22" s="483" t="s">
        <v>6634</v>
      </c>
    </row>
    <row r="23" spans="1:13">
      <c r="D23" s="482"/>
      <c r="E23" s="482"/>
    </row>
    <row r="24" spans="1:13">
      <c r="A24" s="485"/>
      <c r="D24" s="483" t="s">
        <v>1697</v>
      </c>
      <c r="H24" s="483">
        <v>6</v>
      </c>
    </row>
    <row r="25" spans="1:13">
      <c r="A25" s="485"/>
      <c r="B25" s="485"/>
      <c r="C25" s="485"/>
      <c r="H25" s="149"/>
    </row>
    <row r="29" spans="1:13">
      <c r="D29" s="482"/>
      <c r="E29" s="482"/>
    </row>
    <row r="31" spans="1:13">
      <c r="A31" s="485"/>
      <c r="B31" s="485"/>
      <c r="C31" s="485"/>
    </row>
    <row r="35" spans="1:8" ht="13.5" thickBot="1">
      <c r="H35" s="127">
        <f>SUM(H20:H34)</f>
        <v>1299.6000000000001</v>
      </c>
    </row>
    <row r="36" spans="1:8" ht="13.5" thickTop="1"/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Two Hundred Ninety-Nine and 60/100 -----------</v>
      </c>
      <c r="C37" s="202"/>
      <c r="D37" s="119"/>
      <c r="E37" s="119"/>
      <c r="F37" s="119"/>
      <c r="G37" s="119"/>
      <c r="H37" s="119"/>
    </row>
    <row r="38" spans="1:8">
      <c r="A38" s="486" t="s">
        <v>11</v>
      </c>
    </row>
    <row r="39" spans="1:8" ht="25.5">
      <c r="A39" s="483" t="s">
        <v>10</v>
      </c>
      <c r="D39" s="441"/>
      <c r="F39" s="265" t="s">
        <v>2894</v>
      </c>
      <c r="G39" s="266"/>
      <c r="H39" s="267"/>
    </row>
    <row r="40" spans="1:8">
      <c r="D40" s="433"/>
    </row>
    <row r="41" spans="1:8">
      <c r="A41" s="126"/>
      <c r="D41" s="433"/>
    </row>
    <row r="42" spans="1:8">
      <c r="A42" s="483" t="s">
        <v>52</v>
      </c>
      <c r="D42" s="433"/>
      <c r="E42" s="121"/>
    </row>
    <row r="43" spans="1:8">
      <c r="A43" s="122"/>
      <c r="B43" s="122"/>
      <c r="C43" s="433"/>
      <c r="D43" s="433"/>
    </row>
    <row r="44" spans="1:8">
      <c r="D44" s="442"/>
    </row>
    <row r="45" spans="1:8">
      <c r="D45" s="151"/>
    </row>
    <row r="46" spans="1:8">
      <c r="A46" s="487" t="s">
        <v>8</v>
      </c>
      <c r="D46" s="487" t="s">
        <v>8</v>
      </c>
      <c r="F46" s="487" t="s">
        <v>7</v>
      </c>
      <c r="H46" s="124"/>
    </row>
    <row r="50" spans="1:8">
      <c r="A50" s="122" t="s">
        <v>51</v>
      </c>
      <c r="B50" s="122"/>
      <c r="C50" s="433"/>
      <c r="D50" s="122" t="s">
        <v>51</v>
      </c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F52" s="483" t="s">
        <v>2</v>
      </c>
    </row>
    <row r="53" spans="1:8">
      <c r="A53" s="151"/>
    </row>
    <row r="54" spans="1:8">
      <c r="F54" s="482" t="s">
        <v>1</v>
      </c>
    </row>
    <row r="55" spans="1:8">
      <c r="F55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59964-7D59-400D-BA77-1AC2EB29D317}">
  <sheetPr codeName="Sheet613">
    <pageSetUpPr fitToPage="1"/>
  </sheetPr>
  <dimension ref="A1:H55"/>
  <sheetViews>
    <sheetView workbookViewId="0">
      <selection activeCell="G9" sqref="G9:G13"/>
    </sheetView>
  </sheetViews>
  <sheetFormatPr defaultRowHeight="12.75"/>
  <cols>
    <col min="1" max="1" width="16.28515625" style="483" customWidth="1"/>
    <col min="2" max="2" width="12.28515625" style="483" customWidth="1"/>
    <col min="3" max="3" width="1.140625" style="483" customWidth="1"/>
    <col min="4" max="4" width="22.42578125" style="483" customWidth="1"/>
    <col min="5" max="5" width="1.5703125" style="483" customWidth="1"/>
    <col min="6" max="6" width="13.140625" style="483" customWidth="1"/>
    <col min="7" max="7" width="10.5703125" style="483" customWidth="1"/>
    <col min="8" max="8" width="13.140625" style="483" customWidth="1"/>
    <col min="9" max="16384" width="9.140625" style="483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483" t="s">
        <v>24</v>
      </c>
      <c r="F8" s="22" t="s">
        <v>23</v>
      </c>
    </row>
    <row r="9" spans="1:8">
      <c r="F9" s="484" t="s">
        <v>1134</v>
      </c>
      <c r="G9" s="489" t="s">
        <v>6776</v>
      </c>
      <c r="H9" s="488"/>
    </row>
    <row r="10" spans="1:8">
      <c r="A10" s="483" t="s">
        <v>6778</v>
      </c>
      <c r="F10" s="484" t="s">
        <v>1180</v>
      </c>
      <c r="G10" s="489" t="s">
        <v>6758</v>
      </c>
      <c r="H10" s="488"/>
    </row>
    <row r="11" spans="1:8">
      <c r="A11" s="483" t="s">
        <v>6779</v>
      </c>
      <c r="F11" s="484" t="s">
        <v>1181</v>
      </c>
      <c r="G11" s="489" t="s">
        <v>1094</v>
      </c>
      <c r="H11" s="488"/>
    </row>
    <row r="12" spans="1:8">
      <c r="A12" s="483" t="s">
        <v>6780</v>
      </c>
      <c r="F12" s="484" t="s">
        <v>1182</v>
      </c>
      <c r="G12" s="486" t="s">
        <v>6777</v>
      </c>
      <c r="H12" s="488"/>
    </row>
    <row r="13" spans="1:8">
      <c r="A13" s="483" t="s">
        <v>6781</v>
      </c>
      <c r="H13" s="488"/>
    </row>
    <row r="14" spans="1:8">
      <c r="G14" s="488"/>
      <c r="H14" s="488"/>
    </row>
    <row r="16" spans="1:8" s="15" customFormat="1" ht="20.100000000000001" customHeight="1">
      <c r="A16" s="18" t="s">
        <v>1193</v>
      </c>
      <c r="B16" s="517" t="s">
        <v>1098</v>
      </c>
      <c r="C16" s="517"/>
      <c r="D16" s="19" t="s">
        <v>14</v>
      </c>
      <c r="E16" s="19"/>
      <c r="F16" s="18"/>
      <c r="G16" s="17"/>
      <c r="H16" s="16" t="s">
        <v>13</v>
      </c>
    </row>
    <row r="18" spans="1:8">
      <c r="A18" s="161"/>
      <c r="B18" s="121"/>
      <c r="C18" s="121"/>
      <c r="D18" s="482" t="s">
        <v>6782</v>
      </c>
      <c r="E18" s="482"/>
    </row>
    <row r="19" spans="1:8">
      <c r="D19" s="482"/>
      <c r="E19" s="482"/>
    </row>
    <row r="20" spans="1:8">
      <c r="A20" s="485" t="s">
        <v>6783</v>
      </c>
      <c r="B20" s="485" t="s">
        <v>6784</v>
      </c>
      <c r="D20" s="483" t="s">
        <v>6785</v>
      </c>
      <c r="H20" s="483">
        <f>30000+30000+30000</f>
        <v>90000</v>
      </c>
    </row>
    <row r="21" spans="1:8">
      <c r="A21" s="485"/>
      <c r="B21" s="485"/>
      <c r="C21" s="485"/>
      <c r="D21" s="483" t="s">
        <v>6786</v>
      </c>
      <c r="H21" s="483">
        <f>120000</f>
        <v>120000</v>
      </c>
    </row>
    <row r="22" spans="1:8">
      <c r="A22" s="485"/>
      <c r="B22" s="485"/>
      <c r="C22" s="485"/>
      <c r="D22" s="483" t="s">
        <v>6787</v>
      </c>
      <c r="H22" s="483">
        <f>15120+9000</f>
        <v>24120</v>
      </c>
    </row>
    <row r="23" spans="1:8">
      <c r="A23" s="485"/>
      <c r="B23" s="485"/>
      <c r="C23" s="485"/>
      <c r="D23" s="483" t="s">
        <v>6788</v>
      </c>
      <c r="H23" s="483">
        <f>5600+2000+2400+2400+2400</f>
        <v>14800</v>
      </c>
    </row>
    <row r="24" spans="1:8">
      <c r="A24" s="485"/>
      <c r="B24" s="485"/>
      <c r="C24" s="485"/>
      <c r="D24" s="483" t="s">
        <v>5175</v>
      </c>
      <c r="H24" s="483">
        <f>(H20+H21+H22+H23)*6%</f>
        <v>14935.199999999999</v>
      </c>
    </row>
    <row r="25" spans="1:8">
      <c r="A25" s="485"/>
      <c r="B25" s="485"/>
      <c r="C25" s="485"/>
    </row>
    <row r="26" spans="1:8">
      <c r="A26" s="485"/>
      <c r="B26" s="485"/>
      <c r="C26" s="485"/>
    </row>
    <row r="27" spans="1:8">
      <c r="A27" s="485"/>
      <c r="B27" s="485"/>
      <c r="C27" s="485"/>
    </row>
    <row r="28" spans="1:8">
      <c r="A28" s="485"/>
      <c r="B28" s="485"/>
      <c r="C28" s="485"/>
    </row>
    <row r="29" spans="1:8">
      <c r="A29" s="485"/>
      <c r="B29" s="485"/>
      <c r="C29" s="485"/>
    </row>
    <row r="31" spans="1:8">
      <c r="A31" s="485"/>
      <c r="B31" s="121"/>
      <c r="C31" s="121"/>
    </row>
    <row r="33" spans="1:8">
      <c r="A33" s="485"/>
      <c r="B33" s="121"/>
      <c r="C33" s="121"/>
    </row>
    <row r="34" spans="1:8">
      <c r="H34" s="122"/>
    </row>
    <row r="35" spans="1:8" ht="13.5" thickBot="1">
      <c r="H35" s="127">
        <f>SUM(H18:H33)</f>
        <v>263855.2</v>
      </c>
    </row>
    <row r="36" spans="1:8" ht="13.5" thickTop="1"/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>Two Hundred Sixty-Three Thousand Eight Hundred Fifty-Five and 20/100 -----------</v>
      </c>
      <c r="C37" s="202"/>
      <c r="D37" s="119"/>
      <c r="E37" s="119"/>
      <c r="F37" s="119"/>
      <c r="G37" s="119"/>
      <c r="H37" s="119"/>
    </row>
    <row r="38" spans="1:8">
      <c r="A38" s="486" t="s">
        <v>11</v>
      </c>
    </row>
    <row r="39" spans="1:8" ht="25.5">
      <c r="A39" s="126" t="s">
        <v>10</v>
      </c>
      <c r="D39" s="487" t="s">
        <v>8</v>
      </c>
      <c r="F39" s="265" t="s">
        <v>2894</v>
      </c>
      <c r="G39" s="266"/>
      <c r="H39" s="267"/>
    </row>
    <row r="42" spans="1:8">
      <c r="A42" s="483" t="s">
        <v>52</v>
      </c>
      <c r="E42" s="121"/>
    </row>
    <row r="43" spans="1:8">
      <c r="A43" s="122"/>
      <c r="B43" s="122"/>
      <c r="C43" s="433"/>
      <c r="D43" s="122" t="s">
        <v>51</v>
      </c>
    </row>
    <row r="44" spans="1:8">
      <c r="D44" s="151" t="s">
        <v>103</v>
      </c>
    </row>
    <row r="45" spans="1:8">
      <c r="D45" s="151"/>
    </row>
    <row r="46" spans="1:8">
      <c r="A46" s="487" t="s">
        <v>8</v>
      </c>
      <c r="D46" s="487" t="s">
        <v>8</v>
      </c>
      <c r="F46" s="487" t="s">
        <v>7</v>
      </c>
      <c r="H46" s="124"/>
    </row>
    <row r="50" spans="1:8">
      <c r="A50" s="122" t="s">
        <v>51</v>
      </c>
      <c r="B50" s="122"/>
      <c r="C50" s="433"/>
      <c r="D50" s="122" t="s">
        <v>51</v>
      </c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F52" s="483" t="s">
        <v>2</v>
      </c>
    </row>
    <row r="54" spans="1:8">
      <c r="F54" s="482" t="s">
        <v>1</v>
      </c>
    </row>
    <row r="55" spans="1:8">
      <c r="F55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AC41A-CBD4-4ACC-9FB6-16F4FCB20EA4}">
  <sheetPr codeName="Sheet614"/>
  <dimension ref="A1:H55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" style="483" customWidth="1"/>
    <col min="2" max="2" width="13.42578125" style="483" customWidth="1"/>
    <col min="3" max="3" width="1" style="483" customWidth="1"/>
    <col min="4" max="4" width="19.42578125" style="483" customWidth="1"/>
    <col min="5" max="5" width="1.28515625" style="483" customWidth="1"/>
    <col min="6" max="6" width="14.42578125" style="483" customWidth="1"/>
    <col min="7" max="7" width="9" style="483" customWidth="1"/>
    <col min="8" max="8" width="13.28515625" style="483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483" t="s">
        <v>24</v>
      </c>
      <c r="F8" s="22" t="s">
        <v>23</v>
      </c>
    </row>
    <row r="9" spans="1:8">
      <c r="F9" s="484" t="s">
        <v>1110</v>
      </c>
      <c r="G9" s="489" t="s">
        <v>6820</v>
      </c>
    </row>
    <row r="10" spans="1:8">
      <c r="A10" s="483" t="s">
        <v>3740</v>
      </c>
      <c r="F10" s="484" t="s">
        <v>1685</v>
      </c>
      <c r="G10" s="489" t="s">
        <v>6819</v>
      </c>
    </row>
    <row r="11" spans="1:8">
      <c r="A11" s="483" t="s">
        <v>6790</v>
      </c>
      <c r="F11" s="484" t="s">
        <v>1163</v>
      </c>
      <c r="G11" s="489" t="s">
        <v>1094</v>
      </c>
    </row>
    <row r="12" spans="1:8">
      <c r="A12" s="483" t="s">
        <v>6791</v>
      </c>
      <c r="F12" s="484" t="s">
        <v>1135</v>
      </c>
      <c r="G12" s="486" t="s">
        <v>6821</v>
      </c>
    </row>
    <row r="13" spans="1:8">
      <c r="A13" s="483" t="s">
        <v>6792</v>
      </c>
      <c r="G13" s="488" t="s">
        <v>5914</v>
      </c>
    </row>
    <row r="16" spans="1:8" s="15" customFormat="1" ht="20.100000000000001" customHeight="1">
      <c r="A16" s="18" t="s">
        <v>1140</v>
      </c>
      <c r="B16" s="518" t="s">
        <v>1098</v>
      </c>
      <c r="C16" s="518"/>
      <c r="D16" s="19" t="s">
        <v>14</v>
      </c>
      <c r="E16" s="19"/>
      <c r="F16" s="18"/>
      <c r="G16" s="17"/>
      <c r="H16" s="16" t="s">
        <v>13</v>
      </c>
    </row>
    <row r="17" spans="1:8">
      <c r="A17" s="173"/>
    </row>
    <row r="18" spans="1:8">
      <c r="A18" s="485"/>
      <c r="B18" s="485"/>
      <c r="C18" s="485"/>
      <c r="D18" s="482" t="s">
        <v>6822</v>
      </c>
      <c r="E18" s="482"/>
    </row>
    <row r="19" spans="1:8">
      <c r="D19" s="482" t="s">
        <v>6823</v>
      </c>
    </row>
    <row r="20" spans="1:8">
      <c r="D20" s="482"/>
      <c r="E20" s="482"/>
    </row>
    <row r="21" spans="1:8">
      <c r="A21" s="485" t="s">
        <v>6808</v>
      </c>
      <c r="B21" s="485" t="s">
        <v>6824</v>
      </c>
      <c r="D21" s="483" t="s">
        <v>6825</v>
      </c>
      <c r="H21" s="483">
        <v>875</v>
      </c>
    </row>
    <row r="22" spans="1:8">
      <c r="A22" s="484"/>
      <c r="D22" s="483" t="s">
        <v>6826</v>
      </c>
      <c r="H22" s="483">
        <f>H21*10%</f>
        <v>87.5</v>
      </c>
    </row>
    <row r="23" spans="1:8">
      <c r="D23" s="486" t="s">
        <v>5175</v>
      </c>
      <c r="H23" s="483">
        <f>H21*6%</f>
        <v>52.5</v>
      </c>
    </row>
    <row r="24" spans="1:8">
      <c r="B24" s="485"/>
      <c r="C24" s="485"/>
      <c r="D24" s="486"/>
    </row>
    <row r="27" spans="1:8">
      <c r="A27" s="484"/>
    </row>
    <row r="28" spans="1:8">
      <c r="D28" s="486"/>
    </row>
    <row r="29" spans="1:8">
      <c r="A29" s="166"/>
    </row>
    <row r="33" spans="1:8">
      <c r="B33" s="485"/>
      <c r="C33" s="485"/>
    </row>
    <row r="34" spans="1:8">
      <c r="A34" s="484"/>
      <c r="B34" s="1"/>
      <c r="C34" s="1"/>
    </row>
    <row r="35" spans="1:8">
      <c r="A35" s="173"/>
    </row>
    <row r="36" spans="1:8" ht="13.5" thickBot="1">
      <c r="A36" s="173"/>
      <c r="H36" s="117">
        <f>SUM(H18:H35)</f>
        <v>1015</v>
      </c>
    </row>
    <row r="37" spans="1:8" ht="13.5" thickTop="1">
      <c r="A37" s="173"/>
    </row>
    <row r="38" spans="1:8" ht="20.100000000000001" customHeight="1">
      <c r="A38" s="118" t="s">
        <v>1686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One Thousand Fifteen and NO/100 -----------</v>
      </c>
      <c r="C38" s="202"/>
      <c r="D38" s="119"/>
      <c r="E38" s="119"/>
      <c r="F38" s="119"/>
      <c r="G38" s="119"/>
      <c r="H38" s="119"/>
    </row>
    <row r="39" spans="1:8">
      <c r="A39" s="486"/>
    </row>
    <row r="40" spans="1:8" ht="25.5">
      <c r="A40" s="483" t="s">
        <v>10</v>
      </c>
      <c r="F40" s="265" t="s">
        <v>2894</v>
      </c>
      <c r="G40" s="266"/>
      <c r="H40" s="267"/>
    </row>
    <row r="41" spans="1:8">
      <c r="A41" s="126"/>
    </row>
    <row r="43" spans="1:8">
      <c r="A43" s="483" t="s">
        <v>51</v>
      </c>
      <c r="D43" s="121"/>
      <c r="E43" s="121"/>
    </row>
    <row r="44" spans="1:8">
      <c r="A44" s="122"/>
      <c r="B44" s="122"/>
    </row>
    <row r="46" spans="1:8">
      <c r="A46" s="483" t="s">
        <v>8</v>
      </c>
      <c r="D46" s="483" t="s">
        <v>8</v>
      </c>
      <c r="F46" s="487" t="s">
        <v>7</v>
      </c>
      <c r="H46" s="124"/>
    </row>
    <row r="50" spans="1:8">
      <c r="A50" s="122" t="s">
        <v>51</v>
      </c>
      <c r="B50" s="122"/>
      <c r="D50" s="122" t="s">
        <v>51</v>
      </c>
      <c r="F50" s="122"/>
      <c r="G50" s="122"/>
      <c r="H50" s="122"/>
    </row>
    <row r="51" spans="1:8" s="3" customFormat="1" ht="17.100000000000001" customHeight="1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</row>
    <row r="52" spans="1:8">
      <c r="A52" s="151"/>
      <c r="F52" s="483" t="s">
        <v>2</v>
      </c>
    </row>
    <row r="54" spans="1:8">
      <c r="F54" s="482" t="s">
        <v>1</v>
      </c>
    </row>
    <row r="55" spans="1:8">
      <c r="F55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CC5F-28C5-4C7D-A58E-F87AAB207E60}">
  <sheetPr>
    <tabColor rgb="FFFFFF00"/>
  </sheetPr>
  <dimension ref="A1:U113"/>
  <sheetViews>
    <sheetView view="pageBreakPreview" zoomScaleNormal="100" zoomScaleSheetLayoutView="100" workbookViewId="0">
      <selection activeCell="D22" sqref="D22"/>
    </sheetView>
  </sheetViews>
  <sheetFormatPr defaultRowHeight="12.75"/>
  <cols>
    <col min="1" max="1" width="14.28515625" style="1" customWidth="1"/>
    <col min="2" max="2" width="11" style="1" customWidth="1"/>
    <col min="3" max="3" width="1" style="1" customWidth="1"/>
    <col min="4" max="4" width="25.28515625" style="1" customWidth="1"/>
    <col min="5" max="5" width="1" style="1" customWidth="1"/>
    <col min="6" max="6" width="18" style="1" customWidth="1"/>
    <col min="7" max="7" width="12.85546875" style="1" customWidth="1"/>
    <col min="8" max="8" width="11.7109375" style="1" customWidth="1"/>
    <col min="9" max="16384" width="9.140625" style="1"/>
  </cols>
  <sheetData>
    <row r="1" spans="1:16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6">
      <c r="A2" s="530" t="s">
        <v>25</v>
      </c>
      <c r="B2" s="530"/>
      <c r="C2" s="530"/>
      <c r="D2" s="530"/>
      <c r="E2" s="530"/>
      <c r="F2" s="530"/>
      <c r="G2" s="530"/>
      <c r="H2" s="530"/>
      <c r="M2" s="483" t="s">
        <v>5544</v>
      </c>
      <c r="N2" s="483"/>
      <c r="O2" s="483"/>
      <c r="P2" s="483">
        <v>660</v>
      </c>
    </row>
    <row r="3" spans="1:16">
      <c r="A3" s="530" t="s">
        <v>1480</v>
      </c>
      <c r="B3" s="530"/>
      <c r="C3" s="530"/>
      <c r="D3" s="530"/>
      <c r="E3" s="530"/>
      <c r="F3" s="530"/>
      <c r="G3" s="530"/>
      <c r="H3" s="530"/>
      <c r="M3" s="483" t="s">
        <v>5545</v>
      </c>
      <c r="P3" s="483"/>
    </row>
    <row r="4" spans="1:16">
      <c r="A4" s="530" t="s">
        <v>1481</v>
      </c>
      <c r="B4" s="530"/>
      <c r="C4" s="530"/>
      <c r="D4" s="530"/>
      <c r="E4" s="530"/>
      <c r="F4" s="530"/>
      <c r="G4" s="530"/>
      <c r="H4" s="530"/>
      <c r="M4" s="483"/>
      <c r="P4" s="483"/>
    </row>
    <row r="5" spans="1:16">
      <c r="M5" s="483" t="s">
        <v>5544</v>
      </c>
      <c r="P5" s="483">
        <v>400</v>
      </c>
    </row>
    <row r="6" spans="1:16">
      <c r="M6" s="483" t="s">
        <v>5546</v>
      </c>
    </row>
    <row r="7" spans="1:16">
      <c r="M7" s="482"/>
    </row>
    <row r="8" spans="1:16">
      <c r="A8" s="483" t="s">
        <v>24</v>
      </c>
      <c r="B8" s="483"/>
      <c r="C8" s="483"/>
      <c r="D8" s="483"/>
      <c r="E8" s="483"/>
      <c r="F8" s="22" t="s">
        <v>23</v>
      </c>
      <c r="G8" s="483"/>
      <c r="H8" s="483"/>
      <c r="M8" s="483" t="s">
        <v>5544</v>
      </c>
      <c r="P8" s="483">
        <v>400</v>
      </c>
    </row>
    <row r="9" spans="1:16">
      <c r="A9" s="483"/>
      <c r="B9" s="483"/>
      <c r="C9" s="483"/>
      <c r="D9" s="483"/>
      <c r="E9" s="483"/>
      <c r="F9" s="484" t="s">
        <v>1127</v>
      </c>
      <c r="G9" s="483" t="s">
        <v>7098</v>
      </c>
      <c r="H9" s="483"/>
      <c r="M9" s="483" t="s">
        <v>5547</v>
      </c>
      <c r="P9" s="483"/>
    </row>
    <row r="10" spans="1:16">
      <c r="A10" s="483" t="s">
        <v>7099</v>
      </c>
      <c r="B10" s="483"/>
      <c r="C10" s="483"/>
      <c r="D10" s="483"/>
      <c r="E10" s="483"/>
      <c r="F10" s="484" t="s">
        <v>1162</v>
      </c>
      <c r="G10" s="487" t="s">
        <v>7089</v>
      </c>
      <c r="H10" s="483"/>
      <c r="M10" s="483"/>
      <c r="P10" s="483"/>
    </row>
    <row r="11" spans="1:16">
      <c r="A11" s="483" t="s">
        <v>7100</v>
      </c>
      <c r="B11" s="483"/>
      <c r="C11" s="483"/>
      <c r="D11" s="483"/>
      <c r="E11" s="483"/>
      <c r="F11" s="484" t="s">
        <v>1163</v>
      </c>
      <c r="G11" s="484" t="s">
        <v>1094</v>
      </c>
      <c r="H11" s="483"/>
      <c r="M11" s="483" t="s">
        <v>5548</v>
      </c>
      <c r="P11" s="483">
        <v>240</v>
      </c>
    </row>
    <row r="12" spans="1:16">
      <c r="A12" s="483" t="s">
        <v>7101</v>
      </c>
      <c r="B12" s="483"/>
      <c r="C12" s="483"/>
      <c r="D12" s="483"/>
      <c r="E12" s="483"/>
      <c r="F12" s="484" t="s">
        <v>1135</v>
      </c>
      <c r="G12" s="486"/>
      <c r="H12" s="483"/>
      <c r="M12" s="483"/>
      <c r="P12" s="483"/>
    </row>
    <row r="13" spans="1:16">
      <c r="A13" s="483" t="s">
        <v>1572</v>
      </c>
      <c r="B13" s="483"/>
      <c r="C13" s="483"/>
      <c r="D13" s="483"/>
      <c r="E13" s="483"/>
      <c r="F13" s="483"/>
      <c r="G13" s="488"/>
      <c r="H13" s="483"/>
      <c r="M13" s="483" t="s">
        <v>5175</v>
      </c>
      <c r="P13" s="483">
        <f>SUM(P1:P12)*6%</f>
        <v>102</v>
      </c>
    </row>
    <row r="14" spans="1:16">
      <c r="A14" s="483" t="s">
        <v>1287</v>
      </c>
      <c r="B14" s="483"/>
      <c r="C14" s="483"/>
      <c r="D14" s="483"/>
      <c r="E14" s="483"/>
      <c r="F14" s="483"/>
      <c r="G14" s="483"/>
      <c r="H14" s="483"/>
      <c r="M14" s="483"/>
      <c r="P14" s="483"/>
    </row>
    <row r="15" spans="1:16">
      <c r="A15" s="483"/>
      <c r="B15" s="483"/>
      <c r="C15" s="483"/>
      <c r="D15" s="483"/>
      <c r="E15" s="483"/>
      <c r="F15" s="483"/>
      <c r="G15" s="483"/>
      <c r="H15" s="483"/>
    </row>
    <row r="16" spans="1:16" s="15" customFormat="1" ht="20.100000000000001" customHeight="1">
      <c r="A16" s="18" t="s">
        <v>1122</v>
      </c>
      <c r="B16" s="18" t="s">
        <v>1098</v>
      </c>
      <c r="C16" s="18"/>
      <c r="D16" s="19" t="s">
        <v>14</v>
      </c>
      <c r="E16" s="19"/>
      <c r="F16" s="18"/>
      <c r="G16" s="17"/>
      <c r="H16" s="16" t="s">
        <v>13</v>
      </c>
    </row>
    <row r="17" spans="1:17">
      <c r="A17" s="483"/>
      <c r="B17" s="483"/>
      <c r="C17" s="483"/>
      <c r="D17" s="483"/>
      <c r="E17" s="483"/>
      <c r="F17" s="483"/>
      <c r="G17" s="483"/>
      <c r="H17" s="483"/>
      <c r="M17" s="483" t="s">
        <v>4976</v>
      </c>
      <c r="N17" s="482"/>
      <c r="O17" s="483"/>
      <c r="P17" s="483"/>
      <c r="Q17" s="483">
        <v>120</v>
      </c>
    </row>
    <row r="18" spans="1:17">
      <c r="A18" s="486"/>
      <c r="B18" s="483"/>
      <c r="C18" s="483"/>
      <c r="D18" s="482" t="s">
        <v>4968</v>
      </c>
      <c r="E18" s="482"/>
      <c r="F18" s="483"/>
      <c r="G18" s="483"/>
      <c r="H18" s="483"/>
      <c r="M18" s="483" t="s">
        <v>2796</v>
      </c>
      <c r="N18" s="483"/>
      <c r="O18" s="483"/>
      <c r="P18" s="483"/>
      <c r="Q18" s="483">
        <f>20</f>
        <v>20</v>
      </c>
    </row>
    <row r="19" spans="1:17" s="483" customFormat="1">
      <c r="A19" s="486"/>
      <c r="D19" s="482"/>
      <c r="E19" s="482"/>
      <c r="M19" s="483" t="s">
        <v>4754</v>
      </c>
      <c r="Q19" s="483">
        <v>40</v>
      </c>
    </row>
    <row r="20" spans="1:17" s="483" customFormat="1">
      <c r="A20" s="485" t="s">
        <v>7097</v>
      </c>
      <c r="B20" s="485" t="s">
        <v>7102</v>
      </c>
      <c r="D20" s="314" t="s">
        <v>7103</v>
      </c>
      <c r="E20" s="482"/>
      <c r="H20" s="483">
        <f>7500</f>
        <v>7500</v>
      </c>
      <c r="M20" s="483" t="s">
        <v>5175</v>
      </c>
      <c r="Q20" s="483">
        <f>SUM(Q17+Q18+Q19)*6%</f>
        <v>10.799999999999999</v>
      </c>
    </row>
    <row r="21" spans="1:17" s="483" customFormat="1">
      <c r="A21" s="485"/>
      <c r="B21" s="485"/>
      <c r="C21" s="485"/>
      <c r="D21" s="483" t="s">
        <v>7104</v>
      </c>
    </row>
    <row r="22" spans="1:17" s="483" customFormat="1">
      <c r="A22" s="485"/>
      <c r="M22" s="482" t="s">
        <v>6437</v>
      </c>
    </row>
    <row r="23" spans="1:17" s="483" customFormat="1">
      <c r="A23" s="485"/>
      <c r="M23" s="463"/>
      <c r="N23" s="482"/>
    </row>
    <row r="24" spans="1:17" s="483" customFormat="1">
      <c r="A24" s="485"/>
      <c r="D24" s="482"/>
      <c r="M24" s="483" t="s">
        <v>6438</v>
      </c>
      <c r="N24" s="482"/>
      <c r="Q24" s="483">
        <v>120</v>
      </c>
    </row>
    <row r="25" spans="1:17" s="483" customFormat="1">
      <c r="A25" s="485"/>
      <c r="B25" s="485"/>
      <c r="M25" s="483" t="s">
        <v>2796</v>
      </c>
      <c r="Q25" s="483">
        <f>20</f>
        <v>20</v>
      </c>
    </row>
    <row r="26" spans="1:17" s="483" customFormat="1">
      <c r="E26" s="482"/>
      <c r="M26" s="483" t="s">
        <v>6439</v>
      </c>
      <c r="Q26" s="483">
        <v>120</v>
      </c>
    </row>
    <row r="27" spans="1:17" s="483" customFormat="1">
      <c r="A27" s="485"/>
      <c r="B27" s="485"/>
      <c r="E27" s="482"/>
      <c r="M27" s="483" t="s">
        <v>6374</v>
      </c>
      <c r="Q27" s="483">
        <v>40</v>
      </c>
    </row>
    <row r="28" spans="1:17" s="483" customFormat="1">
      <c r="A28" s="485"/>
      <c r="B28" s="485"/>
      <c r="C28" s="485"/>
      <c r="M28" s="483" t="s">
        <v>6440</v>
      </c>
      <c r="Q28" s="483">
        <v>40</v>
      </c>
    </row>
    <row r="29" spans="1:17" s="483" customFormat="1">
      <c r="A29" s="485"/>
      <c r="B29" s="485"/>
      <c r="C29" s="485"/>
      <c r="M29" s="483" t="s">
        <v>5175</v>
      </c>
      <c r="Q29" s="483">
        <v>20.399999999999999</v>
      </c>
    </row>
    <row r="30" spans="1:17" s="483" customFormat="1">
      <c r="A30" s="485"/>
      <c r="B30" s="485"/>
      <c r="C30" s="485"/>
    </row>
    <row r="31" spans="1:17" s="483" customFormat="1">
      <c r="A31" s="485"/>
      <c r="B31" s="485"/>
      <c r="C31" s="485"/>
    </row>
    <row r="32" spans="1:17" s="483" customFormat="1">
      <c r="A32" s="485"/>
      <c r="B32" s="485"/>
      <c r="C32" s="485"/>
    </row>
    <row r="33" spans="1:18" s="483" customFormat="1">
      <c r="A33" s="485"/>
      <c r="B33" s="485"/>
      <c r="C33" s="485"/>
    </row>
    <row r="34" spans="1:18" s="483" customFormat="1">
      <c r="B34" s="485"/>
      <c r="C34" s="485"/>
    </row>
    <row r="35" spans="1:18" s="483" customFormat="1"/>
    <row r="36" spans="1:18" s="483" customFormat="1" ht="13.5" thickBot="1">
      <c r="H36" s="117">
        <f>SUM(H20:H34)</f>
        <v>7500</v>
      </c>
    </row>
    <row r="37" spans="1:18" s="483" customFormat="1" ht="13.5" thickTop="1">
      <c r="M37" s="483" t="s">
        <v>5544</v>
      </c>
      <c r="N37" s="482"/>
      <c r="Q37" s="483">
        <v>660</v>
      </c>
    </row>
    <row r="38" spans="1:18" s="483" customFormat="1" ht="18.75" customHeight="1">
      <c r="A38" s="118" t="s">
        <v>1133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Seven Thousand Five Hundred and NO/100 -----------</v>
      </c>
      <c r="C38" s="202"/>
      <c r="D38" s="119"/>
      <c r="E38" s="119"/>
      <c r="F38" s="119"/>
      <c r="G38" s="119"/>
      <c r="H38" s="119"/>
      <c r="L38" s="485"/>
      <c r="M38" s="483" t="s">
        <v>5545</v>
      </c>
    </row>
    <row r="39" spans="1:18" s="483" customFormat="1">
      <c r="A39" s="486" t="s">
        <v>11</v>
      </c>
    </row>
    <row r="40" spans="1:18" ht="24.75" customHeight="1">
      <c r="A40" s="483" t="s">
        <v>10</v>
      </c>
      <c r="B40" s="483"/>
      <c r="C40" s="483"/>
      <c r="D40" s="483"/>
      <c r="E40" s="483"/>
      <c r="F40" s="265" t="s">
        <v>2894</v>
      </c>
      <c r="G40" s="266"/>
      <c r="H40" s="267"/>
      <c r="M40" s="483" t="s">
        <v>5544</v>
      </c>
      <c r="N40" s="483"/>
      <c r="O40" s="483"/>
      <c r="P40" s="483"/>
      <c r="Q40" s="483">
        <v>400</v>
      </c>
    </row>
    <row r="41" spans="1:18">
      <c r="A41" s="483"/>
      <c r="B41" s="483"/>
      <c r="C41" s="483"/>
      <c r="D41" s="483"/>
      <c r="E41" s="483"/>
      <c r="F41" s="483"/>
      <c r="G41" s="483"/>
      <c r="H41" s="483"/>
      <c r="M41" s="483" t="s">
        <v>5546</v>
      </c>
      <c r="N41" s="483"/>
      <c r="O41" s="483"/>
      <c r="P41" s="483"/>
      <c r="Q41" s="483"/>
    </row>
    <row r="42" spans="1:18" ht="20.100000000000001" customHeight="1">
      <c r="A42" s="126"/>
      <c r="B42" s="483"/>
      <c r="C42" s="483"/>
      <c r="D42" s="483"/>
      <c r="E42" s="483"/>
      <c r="M42" s="482"/>
      <c r="N42" s="483"/>
      <c r="O42" s="483"/>
      <c r="P42" s="483"/>
      <c r="Q42" s="483"/>
    </row>
    <row r="43" spans="1:18">
      <c r="A43" s="483"/>
      <c r="B43" s="483"/>
      <c r="C43" s="483"/>
      <c r="D43" s="121"/>
      <c r="E43" s="121"/>
      <c r="F43" s="483"/>
      <c r="G43" s="483"/>
      <c r="H43" s="483"/>
      <c r="M43" s="483" t="s">
        <v>5544</v>
      </c>
      <c r="N43" s="483"/>
      <c r="O43" s="483"/>
      <c r="P43" s="483"/>
      <c r="Q43" s="483">
        <v>400</v>
      </c>
      <c r="R43" s="483"/>
    </row>
    <row r="44" spans="1:18">
      <c r="A44" s="122"/>
      <c r="B44" s="122"/>
      <c r="C44" s="483"/>
      <c r="D44" s="483"/>
      <c r="E44" s="483"/>
      <c r="F44" s="483"/>
      <c r="G44" s="483"/>
      <c r="H44" s="483"/>
      <c r="M44" s="483" t="s">
        <v>5547</v>
      </c>
      <c r="N44" s="482"/>
      <c r="O44" s="483"/>
      <c r="P44" s="483"/>
      <c r="Q44" s="483"/>
      <c r="R44" s="483"/>
    </row>
    <row r="45" spans="1:18">
      <c r="B45" s="483"/>
      <c r="C45" s="483"/>
      <c r="D45" s="483"/>
      <c r="E45" s="483"/>
      <c r="F45" s="483"/>
      <c r="G45" s="483"/>
      <c r="H45" s="483"/>
      <c r="M45" s="483"/>
      <c r="N45" s="482"/>
      <c r="O45" s="483"/>
      <c r="P45" s="483"/>
      <c r="Q45" s="483"/>
      <c r="R45" s="483"/>
    </row>
    <row r="46" spans="1:18">
      <c r="A46" s="487" t="s">
        <v>8</v>
      </c>
      <c r="D46" s="487" t="s">
        <v>8</v>
      </c>
      <c r="E46" s="483"/>
      <c r="F46" s="487" t="s">
        <v>7</v>
      </c>
      <c r="G46" s="483"/>
      <c r="H46" s="124"/>
      <c r="M46" s="483" t="s">
        <v>5548</v>
      </c>
      <c r="N46" s="483"/>
      <c r="O46" s="483"/>
      <c r="P46" s="483"/>
      <c r="Q46" s="483">
        <v>240</v>
      </c>
    </row>
    <row r="47" spans="1:18">
      <c r="A47" s="483"/>
      <c r="B47" s="483"/>
      <c r="C47" s="483"/>
      <c r="D47" s="483"/>
      <c r="E47" s="483"/>
      <c r="F47" s="483"/>
      <c r="G47" s="483"/>
      <c r="H47" s="483"/>
      <c r="M47" s="483"/>
      <c r="N47" s="483"/>
      <c r="O47" s="483"/>
      <c r="P47" s="483"/>
      <c r="Q47" s="483"/>
    </row>
    <row r="48" spans="1:18">
      <c r="A48" s="483"/>
      <c r="B48" s="483"/>
      <c r="C48" s="483"/>
      <c r="D48" s="483"/>
      <c r="E48" s="483"/>
      <c r="F48" s="483"/>
      <c r="G48" s="483"/>
      <c r="H48" s="483"/>
      <c r="M48" s="485"/>
      <c r="N48" s="485"/>
    </row>
    <row r="49" spans="1:18">
      <c r="A49" s="483"/>
      <c r="B49" s="483"/>
      <c r="C49" s="483"/>
      <c r="D49" s="483"/>
      <c r="E49" s="483"/>
      <c r="F49" s="483"/>
      <c r="G49" s="483"/>
      <c r="H49" s="483"/>
      <c r="M49" s="485"/>
      <c r="N49" s="485"/>
      <c r="O49" s="483"/>
      <c r="R49" s="483"/>
    </row>
    <row r="50" spans="1:18">
      <c r="A50" s="122"/>
      <c r="B50" s="122"/>
      <c r="C50" s="483"/>
      <c r="D50" s="122"/>
      <c r="E50" s="483"/>
      <c r="F50" s="122"/>
      <c r="G50" s="122"/>
      <c r="H50" s="122"/>
      <c r="M50" s="485"/>
      <c r="N50" s="485"/>
      <c r="O50" s="483"/>
      <c r="R50" s="483"/>
    </row>
    <row r="51" spans="1:18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  <c r="M51" s="485"/>
      <c r="N51" s="485"/>
      <c r="O51" s="483"/>
      <c r="R51" s="483"/>
    </row>
    <row r="52" spans="1:18">
      <c r="A52" s="483"/>
      <c r="B52" s="483"/>
      <c r="C52" s="483"/>
      <c r="D52" s="483"/>
      <c r="E52" s="483"/>
      <c r="F52" s="483" t="s">
        <v>2</v>
      </c>
      <c r="G52" s="483"/>
      <c r="H52" s="483"/>
      <c r="M52" s="485"/>
      <c r="N52" s="485"/>
      <c r="O52" s="483"/>
    </row>
    <row r="53" spans="1:18">
      <c r="A53" s="151"/>
      <c r="B53" s="483"/>
      <c r="C53" s="483"/>
      <c r="D53" s="483"/>
      <c r="E53" s="483"/>
      <c r="F53" s="483"/>
      <c r="G53" s="483"/>
      <c r="H53" s="483"/>
    </row>
    <row r="54" spans="1:18">
      <c r="A54" s="483"/>
      <c r="B54" s="483"/>
      <c r="C54" s="483"/>
      <c r="D54" s="483"/>
      <c r="E54" s="483"/>
      <c r="F54" s="482" t="s">
        <v>1</v>
      </c>
      <c r="G54" s="483"/>
      <c r="H54" s="483"/>
    </row>
    <row r="55" spans="1:18" s="3" customFormat="1" ht="17.100000000000001" customHeight="1">
      <c r="A55" s="483"/>
      <c r="B55" s="483"/>
      <c r="C55" s="483"/>
      <c r="D55" s="483"/>
      <c r="E55" s="483"/>
      <c r="F55" s="482" t="s">
        <v>0</v>
      </c>
      <c r="G55" s="483"/>
      <c r="H55" s="483"/>
    </row>
    <row r="56" spans="1:18">
      <c r="A56" s="483"/>
      <c r="B56" s="483"/>
      <c r="C56" s="483"/>
      <c r="D56" s="483"/>
      <c r="E56" s="483"/>
      <c r="F56" s="483"/>
      <c r="G56" s="483"/>
      <c r="H56" s="483"/>
    </row>
    <row r="57" spans="1:18">
      <c r="A57" s="483"/>
      <c r="B57" s="483"/>
      <c r="C57" s="483"/>
      <c r="D57" s="483"/>
      <c r="E57" s="483"/>
      <c r="F57" s="483"/>
      <c r="G57" s="483"/>
      <c r="H57" s="483"/>
    </row>
    <row r="59" spans="1:18">
      <c r="N59" s="482" t="s">
        <v>5587</v>
      </c>
      <c r="O59" s="482"/>
      <c r="P59" s="483"/>
      <c r="Q59" s="483"/>
      <c r="R59" s="483"/>
    </row>
    <row r="60" spans="1:18">
      <c r="N60" s="482"/>
      <c r="O60" s="482"/>
      <c r="P60" s="483"/>
      <c r="Q60" s="483"/>
      <c r="R60" s="483"/>
    </row>
    <row r="61" spans="1:18">
      <c r="N61" s="483" t="s">
        <v>5765</v>
      </c>
      <c r="O61" s="483"/>
      <c r="P61" s="483"/>
      <c r="Q61" s="483"/>
      <c r="R61" s="483">
        <v>120</v>
      </c>
    </row>
    <row r="62" spans="1:18">
      <c r="N62" s="483" t="s">
        <v>2796</v>
      </c>
      <c r="O62" s="483"/>
      <c r="R62" s="483">
        <v>20</v>
      </c>
    </row>
    <row r="63" spans="1:18">
      <c r="N63" s="483" t="s">
        <v>5766</v>
      </c>
      <c r="O63" s="483"/>
      <c r="R63" s="483">
        <v>40</v>
      </c>
    </row>
    <row r="64" spans="1:18">
      <c r="N64" s="483" t="s">
        <v>5175</v>
      </c>
      <c r="O64" s="483"/>
      <c r="R64" s="483">
        <v>10.8</v>
      </c>
    </row>
    <row r="65" spans="14:18">
      <c r="N65" s="482"/>
      <c r="O65" s="482"/>
    </row>
    <row r="66" spans="14:18">
      <c r="N66" s="482" t="s">
        <v>5767</v>
      </c>
      <c r="O66" s="482"/>
    </row>
    <row r="67" spans="14:18">
      <c r="N67" s="483"/>
      <c r="O67" s="483"/>
      <c r="R67" s="483"/>
    </row>
    <row r="68" spans="14:18">
      <c r="N68" s="483" t="s">
        <v>5768</v>
      </c>
      <c r="O68" s="483"/>
      <c r="R68" s="483">
        <v>120</v>
      </c>
    </row>
    <row r="69" spans="14:18">
      <c r="N69" s="483" t="s">
        <v>2796</v>
      </c>
      <c r="O69" s="483"/>
      <c r="R69" s="483">
        <v>20</v>
      </c>
    </row>
    <row r="70" spans="14:18">
      <c r="N70" s="483" t="s">
        <v>5769</v>
      </c>
      <c r="O70" s="483"/>
      <c r="R70" s="483">
        <v>40</v>
      </c>
    </row>
    <row r="71" spans="14:18">
      <c r="N71" s="483" t="s">
        <v>5175</v>
      </c>
      <c r="O71" s="483"/>
      <c r="R71" s="483">
        <v>10.8</v>
      </c>
    </row>
    <row r="72" spans="14:18">
      <c r="N72" s="483"/>
      <c r="O72" s="483"/>
      <c r="R72" s="483"/>
    </row>
    <row r="73" spans="14:18">
      <c r="N73" s="482" t="s">
        <v>5735</v>
      </c>
      <c r="O73" s="482"/>
      <c r="R73" s="483"/>
    </row>
    <row r="74" spans="14:18">
      <c r="N74" s="483"/>
      <c r="O74" s="483"/>
      <c r="R74" s="483"/>
    </row>
    <row r="75" spans="14:18">
      <c r="N75" s="483" t="s">
        <v>5768</v>
      </c>
      <c r="O75" s="483"/>
      <c r="R75" s="483">
        <v>120</v>
      </c>
    </row>
    <row r="76" spans="14:18">
      <c r="N76" s="483" t="s">
        <v>2796</v>
      </c>
      <c r="O76" s="483"/>
      <c r="R76" s="483">
        <v>20</v>
      </c>
    </row>
    <row r="77" spans="14:18">
      <c r="N77" s="483" t="s">
        <v>5769</v>
      </c>
      <c r="O77" s="483"/>
      <c r="R77" s="483">
        <v>40</v>
      </c>
    </row>
    <row r="78" spans="14:18">
      <c r="N78" s="483" t="s">
        <v>5175</v>
      </c>
      <c r="O78" s="483"/>
      <c r="R78" s="483">
        <v>10.8</v>
      </c>
    </row>
    <row r="79" spans="14:18">
      <c r="N79" s="483"/>
      <c r="O79" s="483"/>
      <c r="R79" s="483"/>
    </row>
    <row r="80" spans="14:18">
      <c r="N80" s="482" t="s">
        <v>5770</v>
      </c>
      <c r="O80" s="482"/>
      <c r="R80" s="483"/>
    </row>
    <row r="81" spans="14:21">
      <c r="N81" s="483"/>
      <c r="O81" s="483"/>
      <c r="R81" s="483"/>
    </row>
    <row r="82" spans="14:21">
      <c r="N82" s="483" t="s">
        <v>5768</v>
      </c>
      <c r="O82" s="483"/>
      <c r="R82" s="483">
        <v>120</v>
      </c>
    </row>
    <row r="83" spans="14:21">
      <c r="N83" s="483" t="s">
        <v>2796</v>
      </c>
      <c r="O83" s="483"/>
      <c r="R83" s="483">
        <v>20</v>
      </c>
    </row>
    <row r="84" spans="14:21">
      <c r="N84" s="483" t="s">
        <v>5769</v>
      </c>
      <c r="O84" s="483"/>
      <c r="P84" s="483"/>
      <c r="Q84" s="483"/>
      <c r="R84" s="483">
        <v>40</v>
      </c>
    </row>
    <row r="85" spans="14:21">
      <c r="N85" s="483" t="s">
        <v>5175</v>
      </c>
      <c r="O85" s="483"/>
      <c r="P85" s="483"/>
      <c r="R85" s="483">
        <v>10.8</v>
      </c>
    </row>
    <row r="86" spans="14:21">
      <c r="N86" s="483"/>
      <c r="O86" s="483"/>
      <c r="P86" s="483"/>
      <c r="Q86" s="483"/>
      <c r="R86" s="483"/>
    </row>
    <row r="89" spans="14:21">
      <c r="N89" s="486"/>
      <c r="O89" s="483"/>
      <c r="P89" s="483"/>
      <c r="Q89" s="482" t="s">
        <v>5925</v>
      </c>
      <c r="R89" s="482"/>
      <c r="S89" s="483"/>
      <c r="T89" s="483"/>
      <c r="U89" s="483"/>
    </row>
    <row r="90" spans="14:21">
      <c r="N90" s="486"/>
      <c r="O90" s="483"/>
      <c r="P90" s="483"/>
      <c r="Q90" s="482"/>
      <c r="R90" s="482"/>
      <c r="S90" s="483"/>
      <c r="T90" s="483"/>
      <c r="U90" s="483"/>
    </row>
    <row r="91" spans="14:21">
      <c r="Q91" s="463" t="s">
        <v>5927</v>
      </c>
      <c r="R91" s="482"/>
      <c r="S91" s="483"/>
      <c r="T91" s="483"/>
      <c r="U91" s="483"/>
    </row>
    <row r="92" spans="14:21">
      <c r="N92" s="485" t="s">
        <v>5879</v>
      </c>
      <c r="O92" s="485" t="s">
        <v>5924</v>
      </c>
      <c r="P92" s="485"/>
      <c r="Q92" s="483" t="s">
        <v>4976</v>
      </c>
      <c r="R92" s="483"/>
      <c r="S92" s="483"/>
      <c r="T92" s="483"/>
      <c r="U92" s="483">
        <v>120</v>
      </c>
    </row>
    <row r="93" spans="14:21">
      <c r="N93" s="485"/>
      <c r="O93" s="483"/>
      <c r="P93" s="483"/>
      <c r="Q93" s="483" t="s">
        <v>2796</v>
      </c>
      <c r="T93" s="483"/>
      <c r="U93" s="483">
        <v>20</v>
      </c>
    </row>
    <row r="94" spans="14:21">
      <c r="N94" s="485"/>
      <c r="O94" s="483"/>
      <c r="P94" s="483"/>
      <c r="Q94" s="483" t="s">
        <v>5769</v>
      </c>
      <c r="T94" s="483"/>
      <c r="U94" s="483">
        <v>40</v>
      </c>
    </row>
    <row r="95" spans="14:21">
      <c r="N95" s="485"/>
      <c r="O95" s="483"/>
      <c r="P95" s="483"/>
      <c r="Q95" s="483" t="s">
        <v>5175</v>
      </c>
      <c r="T95" s="483"/>
      <c r="U95" s="483">
        <v>10.8</v>
      </c>
    </row>
    <row r="96" spans="14:21">
      <c r="N96" s="485"/>
      <c r="O96" s="483"/>
      <c r="P96" s="483"/>
      <c r="Q96" s="483"/>
      <c r="T96" s="483"/>
      <c r="U96" s="483"/>
    </row>
    <row r="97" spans="14:21">
      <c r="Q97" s="463" t="s">
        <v>5928</v>
      </c>
      <c r="R97" s="482"/>
    </row>
    <row r="98" spans="14:21">
      <c r="N98" s="485" t="s">
        <v>5879</v>
      </c>
      <c r="O98" s="485" t="s">
        <v>5926</v>
      </c>
      <c r="Q98" s="483" t="s">
        <v>4976</v>
      </c>
      <c r="R98" s="482"/>
      <c r="U98" s="483">
        <v>120</v>
      </c>
    </row>
    <row r="99" spans="14:21">
      <c r="N99" s="485"/>
      <c r="O99" s="485"/>
      <c r="P99" s="485"/>
      <c r="Q99" s="483" t="s">
        <v>2796</v>
      </c>
      <c r="R99" s="483"/>
      <c r="U99" s="483">
        <v>20</v>
      </c>
    </row>
    <row r="100" spans="14:21">
      <c r="O100" s="485"/>
      <c r="P100" s="485"/>
      <c r="Q100" s="483" t="s">
        <v>4754</v>
      </c>
      <c r="R100" s="483"/>
      <c r="U100" s="483">
        <v>40</v>
      </c>
    </row>
    <row r="101" spans="14:21">
      <c r="N101" s="485"/>
      <c r="O101" s="485"/>
      <c r="P101" s="485"/>
      <c r="Q101" s="483" t="s">
        <v>5175</v>
      </c>
      <c r="R101" s="483"/>
      <c r="U101" s="483">
        <v>10.8</v>
      </c>
    </row>
    <row r="102" spans="14:21">
      <c r="R102" s="483"/>
      <c r="U102" s="483"/>
    </row>
    <row r="103" spans="14:21">
      <c r="Q103" s="463" t="s">
        <v>5930</v>
      </c>
      <c r="R103" s="483"/>
      <c r="U103" s="483"/>
    </row>
    <row r="104" spans="14:21">
      <c r="N104" s="485" t="s">
        <v>5879</v>
      </c>
      <c r="O104" s="485" t="s">
        <v>5929</v>
      </c>
      <c r="Q104" s="483" t="s">
        <v>5768</v>
      </c>
      <c r="R104" s="483"/>
      <c r="U104" s="483">
        <v>120</v>
      </c>
    </row>
    <row r="105" spans="14:21">
      <c r="Q105" s="483" t="s">
        <v>2796</v>
      </c>
      <c r="R105" s="482"/>
      <c r="U105" s="483">
        <v>20</v>
      </c>
    </row>
    <row r="106" spans="14:21">
      <c r="Q106" s="483" t="s">
        <v>4754</v>
      </c>
      <c r="R106" s="483"/>
      <c r="U106" s="483">
        <v>40</v>
      </c>
    </row>
    <row r="107" spans="14:21">
      <c r="Q107" s="483" t="s">
        <v>5175</v>
      </c>
      <c r="R107" s="483"/>
      <c r="U107" s="483">
        <v>10.8</v>
      </c>
    </row>
    <row r="108" spans="14:21">
      <c r="Q108" s="482"/>
      <c r="R108" s="482"/>
      <c r="U108" s="483"/>
    </row>
    <row r="109" spans="14:21">
      <c r="Q109" s="463" t="s">
        <v>5931</v>
      </c>
      <c r="R109" s="483"/>
      <c r="U109" s="483"/>
    </row>
    <row r="110" spans="14:21">
      <c r="N110" s="485" t="s">
        <v>5879</v>
      </c>
      <c r="O110" s="485" t="s">
        <v>5932</v>
      </c>
      <c r="P110" s="485"/>
      <c r="Q110" s="483" t="s">
        <v>5768</v>
      </c>
      <c r="R110" s="483"/>
      <c r="U110" s="483">
        <v>120</v>
      </c>
    </row>
    <row r="111" spans="14:21">
      <c r="Q111" s="483" t="s">
        <v>2796</v>
      </c>
      <c r="R111" s="483"/>
      <c r="U111" s="483">
        <v>20</v>
      </c>
    </row>
    <row r="112" spans="14:21">
      <c r="N112" s="485"/>
      <c r="O112" s="485"/>
      <c r="P112" s="485"/>
      <c r="Q112" s="483" t="s">
        <v>4754</v>
      </c>
      <c r="R112" s="483"/>
      <c r="S112" s="483"/>
      <c r="T112" s="483"/>
      <c r="U112" s="483">
        <v>40</v>
      </c>
    </row>
    <row r="113" spans="14:21">
      <c r="N113" s="121"/>
      <c r="O113" s="483"/>
      <c r="P113" s="483"/>
      <c r="Q113" s="483" t="s">
        <v>5175</v>
      </c>
      <c r="R113" s="483"/>
      <c r="S113" s="483"/>
      <c r="U113" s="483">
        <v>10.8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57199-CFE8-407B-B540-8E32BB678859}">
  <sheetPr codeName="Sheet561"/>
  <dimension ref="A1:O54"/>
  <sheetViews>
    <sheetView zoomScaleNormal="100" workbookViewId="0">
      <selection activeCell="G9" sqref="G9:G13"/>
    </sheetView>
  </sheetViews>
  <sheetFormatPr defaultRowHeight="12.75"/>
  <cols>
    <col min="1" max="1" width="16" style="374" customWidth="1"/>
    <col min="2" max="2" width="13.42578125" style="374" customWidth="1"/>
    <col min="3" max="3" width="1.28515625" style="374" customWidth="1"/>
    <col min="4" max="4" width="21" style="374" customWidth="1"/>
    <col min="5" max="5" width="0.85546875" style="374" customWidth="1"/>
    <col min="6" max="6" width="12.42578125" style="374" customWidth="1"/>
    <col min="7" max="7" width="8.7109375" style="374" customWidth="1"/>
    <col min="8" max="8" width="13.28515625" style="374" customWidth="1"/>
    <col min="9" max="16384" width="9.140625" style="373"/>
  </cols>
  <sheetData>
    <row r="1" spans="1:14" ht="15">
      <c r="A1" s="534" t="s">
        <v>26</v>
      </c>
      <c r="B1" s="534"/>
      <c r="C1" s="534"/>
      <c r="D1" s="534"/>
      <c r="E1" s="534"/>
      <c r="F1" s="534"/>
      <c r="G1" s="534"/>
      <c r="H1" s="534"/>
    </row>
    <row r="2" spans="1:14">
      <c r="A2" s="535" t="s">
        <v>25</v>
      </c>
      <c r="B2" s="535"/>
      <c r="C2" s="535"/>
      <c r="D2" s="535"/>
      <c r="E2" s="535"/>
      <c r="F2" s="535"/>
      <c r="G2" s="535"/>
      <c r="H2" s="535"/>
    </row>
    <row r="3" spans="1:14">
      <c r="A3" s="535" t="s">
        <v>1480</v>
      </c>
      <c r="B3" s="535"/>
      <c r="C3" s="535"/>
      <c r="D3" s="535"/>
      <c r="E3" s="535"/>
      <c r="F3" s="535"/>
      <c r="G3" s="535"/>
      <c r="H3" s="535"/>
    </row>
    <row r="4" spans="1:14">
      <c r="A4" s="535" t="s">
        <v>1684</v>
      </c>
      <c r="B4" s="535"/>
      <c r="C4" s="535"/>
      <c r="D4" s="535"/>
      <c r="E4" s="535"/>
      <c r="F4" s="535"/>
      <c r="G4" s="535"/>
      <c r="H4" s="535"/>
    </row>
    <row r="8" spans="1:14">
      <c r="A8" s="374" t="s">
        <v>24</v>
      </c>
      <c r="F8" s="375" t="s">
        <v>23</v>
      </c>
    </row>
    <row r="9" spans="1:14">
      <c r="F9" s="376" t="s">
        <v>1110</v>
      </c>
      <c r="G9" s="111" t="s">
        <v>5946</v>
      </c>
    </row>
    <row r="10" spans="1:14">
      <c r="A10" s="131" t="s">
        <v>5822</v>
      </c>
      <c r="F10" s="376" t="s">
        <v>1685</v>
      </c>
      <c r="G10" s="112" t="s">
        <v>5944</v>
      </c>
    </row>
    <row r="11" spans="1:14">
      <c r="A11" s="131" t="s">
        <v>5823</v>
      </c>
      <c r="F11" s="376" t="s">
        <v>1163</v>
      </c>
      <c r="G11" s="112" t="s">
        <v>1094</v>
      </c>
    </row>
    <row r="12" spans="1:14">
      <c r="A12" s="131" t="s">
        <v>5824</v>
      </c>
      <c r="F12" s="376" t="s">
        <v>1188</v>
      </c>
      <c r="G12" s="112" t="s">
        <v>5947</v>
      </c>
    </row>
    <row r="13" spans="1:14">
      <c r="A13" s="131" t="s">
        <v>1657</v>
      </c>
      <c r="G13" s="111" t="s">
        <v>5775</v>
      </c>
    </row>
    <row r="14" spans="1:14">
      <c r="A14" s="131"/>
    </row>
    <row r="15" spans="1:14">
      <c r="A15" s="131"/>
      <c r="K15" s="379" t="s">
        <v>4530</v>
      </c>
      <c r="L15" s="377"/>
      <c r="M15" s="377"/>
      <c r="N15" s="377"/>
    </row>
    <row r="16" spans="1:14" s="385" customFormat="1" ht="20.100000000000001" customHeight="1">
      <c r="A16" s="380" t="s">
        <v>1140</v>
      </c>
      <c r="B16" s="381" t="s">
        <v>1098</v>
      </c>
      <c r="C16" s="381"/>
      <c r="D16" s="382" t="s">
        <v>14</v>
      </c>
      <c r="E16" s="382"/>
      <c r="F16" s="380"/>
      <c r="G16" s="383"/>
      <c r="H16" s="384" t="s">
        <v>13</v>
      </c>
      <c r="K16" s="379"/>
      <c r="L16" s="377"/>
      <c r="M16" s="377"/>
      <c r="N16" s="377"/>
    </row>
    <row r="17" spans="1:15">
      <c r="A17" s="377"/>
      <c r="B17" s="377"/>
      <c r="C17" s="377"/>
      <c r="D17" s="111"/>
      <c r="E17" s="111"/>
      <c r="F17" s="111"/>
      <c r="G17" s="111"/>
      <c r="H17" s="111"/>
      <c r="K17" s="377" t="s">
        <v>2719</v>
      </c>
      <c r="L17" s="377"/>
      <c r="M17" s="377"/>
      <c r="N17" s="377">
        <v>1350</v>
      </c>
    </row>
    <row r="18" spans="1:15">
      <c r="A18" s="386"/>
      <c r="B18" s="387"/>
      <c r="C18" s="387"/>
      <c r="D18" s="2" t="s">
        <v>5948</v>
      </c>
      <c r="E18" s="2"/>
      <c r="F18" s="111"/>
      <c r="G18" s="111"/>
      <c r="H18" s="111"/>
      <c r="K18" s="377" t="s">
        <v>1583</v>
      </c>
      <c r="L18" s="377"/>
      <c r="M18" s="377"/>
      <c r="N18" s="377">
        <v>600</v>
      </c>
    </row>
    <row r="19" spans="1:15">
      <c r="A19" s="386"/>
      <c r="B19" s="387"/>
      <c r="C19" s="387"/>
      <c r="D19" s="2" t="s">
        <v>5949</v>
      </c>
      <c r="E19" s="2"/>
      <c r="F19" s="111"/>
      <c r="G19" s="111"/>
      <c r="H19" s="111"/>
      <c r="I19" s="377"/>
      <c r="K19" s="377" t="s">
        <v>4518</v>
      </c>
      <c r="L19" s="377"/>
      <c r="M19" s="377"/>
      <c r="N19" s="377">
        <v>150</v>
      </c>
    </row>
    <row r="20" spans="1:15">
      <c r="A20" s="120"/>
      <c r="B20" s="313"/>
      <c r="C20" s="313"/>
      <c r="D20" s="111"/>
      <c r="E20" s="111"/>
      <c r="F20" s="111"/>
      <c r="G20" s="111"/>
      <c r="H20" s="111"/>
      <c r="I20" s="377"/>
      <c r="K20" s="377"/>
      <c r="L20" s="377"/>
      <c r="M20" s="377"/>
      <c r="N20" s="377"/>
    </row>
    <row r="21" spans="1:15">
      <c r="A21" s="116" t="s">
        <v>5950</v>
      </c>
      <c r="B21" s="241" t="s">
        <v>5951</v>
      </c>
      <c r="C21" s="313"/>
      <c r="D21" s="111" t="s">
        <v>5952</v>
      </c>
      <c r="E21" s="111"/>
      <c r="F21" s="111"/>
      <c r="G21" s="111"/>
      <c r="H21" s="111">
        <f>284.08*14</f>
        <v>3977.12</v>
      </c>
      <c r="I21" s="377"/>
    </row>
    <row r="22" spans="1:15">
      <c r="A22" s="120"/>
      <c r="B22" s="387"/>
      <c r="C22" s="387"/>
      <c r="D22" s="111" t="s">
        <v>5953</v>
      </c>
      <c r="E22" s="111"/>
      <c r="F22" s="111"/>
      <c r="G22" s="111"/>
      <c r="H22" s="111">
        <f>14*3</f>
        <v>42</v>
      </c>
      <c r="I22" s="377"/>
      <c r="K22" s="2" t="s">
        <v>4622</v>
      </c>
      <c r="L22" s="111"/>
      <c r="M22" s="111"/>
      <c r="N22" s="111"/>
      <c r="O22" s="377"/>
    </row>
    <row r="23" spans="1:15">
      <c r="A23" s="111"/>
      <c r="B23" s="377"/>
      <c r="C23" s="377"/>
      <c r="D23" s="111" t="s">
        <v>4676</v>
      </c>
      <c r="E23" s="111"/>
      <c r="F23" s="111"/>
      <c r="G23" s="111"/>
      <c r="H23" s="111">
        <f>14*10</f>
        <v>140</v>
      </c>
      <c r="I23" s="377"/>
      <c r="K23" s="2"/>
      <c r="L23" s="111"/>
      <c r="M23" s="111"/>
      <c r="N23" s="111"/>
      <c r="O23" s="377"/>
    </row>
    <row r="24" spans="1:15">
      <c r="A24" s="377"/>
      <c r="B24" s="377"/>
      <c r="C24" s="377"/>
      <c r="D24" s="2"/>
      <c r="E24" s="111"/>
      <c r="F24" s="111"/>
      <c r="G24" s="111"/>
      <c r="H24" s="111"/>
      <c r="I24" s="377"/>
      <c r="K24" s="111" t="s">
        <v>2719</v>
      </c>
      <c r="L24" s="111"/>
      <c r="M24" s="111"/>
      <c r="N24" s="111">
        <v>810</v>
      </c>
      <c r="O24" s="377"/>
    </row>
    <row r="25" spans="1:15">
      <c r="A25" s="378"/>
      <c r="C25" s="377"/>
      <c r="D25" s="2" t="s">
        <v>5954</v>
      </c>
      <c r="E25" s="111"/>
      <c r="F25" s="111"/>
      <c r="G25" s="111"/>
      <c r="H25" s="111"/>
      <c r="I25" s="377"/>
      <c r="K25" s="111" t="s">
        <v>1583</v>
      </c>
      <c r="L25" s="111"/>
      <c r="M25" s="111"/>
      <c r="N25" s="111">
        <v>300</v>
      </c>
      <c r="O25" s="377"/>
    </row>
    <row r="26" spans="1:15">
      <c r="A26" s="120"/>
      <c r="C26" s="377"/>
      <c r="D26" s="2" t="s">
        <v>5955</v>
      </c>
      <c r="E26" s="111"/>
      <c r="F26" s="111"/>
      <c r="G26" s="111"/>
      <c r="H26" s="111"/>
      <c r="I26" s="377"/>
      <c r="K26" s="111" t="s">
        <v>4518</v>
      </c>
      <c r="L26" s="111"/>
      <c r="M26" s="111"/>
      <c r="N26" s="111">
        <v>100</v>
      </c>
      <c r="O26" s="377"/>
    </row>
    <row r="27" spans="1:15">
      <c r="A27" s="111"/>
      <c r="B27" s="111"/>
      <c r="C27" s="378"/>
      <c r="D27" s="111"/>
      <c r="E27" s="2"/>
      <c r="F27" s="377"/>
      <c r="G27" s="377"/>
      <c r="H27" s="377"/>
      <c r="I27" s="377"/>
      <c r="K27" s="111"/>
      <c r="L27" s="111"/>
      <c r="M27" s="111"/>
      <c r="N27" s="111"/>
      <c r="O27" s="377"/>
    </row>
    <row r="28" spans="1:15">
      <c r="A28" s="116" t="s">
        <v>5956</v>
      </c>
      <c r="B28" s="116" t="s">
        <v>5957</v>
      </c>
      <c r="C28" s="377"/>
      <c r="D28" s="131" t="s">
        <v>5958</v>
      </c>
      <c r="H28" s="374">
        <f>110*16</f>
        <v>1760</v>
      </c>
      <c r="K28" s="111"/>
      <c r="L28" s="111"/>
      <c r="M28" s="111"/>
      <c r="N28" s="111"/>
      <c r="O28" s="377"/>
    </row>
    <row r="29" spans="1:15">
      <c r="A29" s="378"/>
      <c r="D29" s="111" t="s">
        <v>2880</v>
      </c>
      <c r="E29" s="377"/>
      <c r="F29" s="377"/>
      <c r="G29" s="377"/>
      <c r="H29" s="377">
        <f>89*4</f>
        <v>356</v>
      </c>
    </row>
    <row r="30" spans="1:15">
      <c r="A30" s="378"/>
      <c r="D30" s="131" t="s">
        <v>5175</v>
      </c>
      <c r="H30" s="374">
        <f>SUM(H28+H29)*6%</f>
        <v>126.96</v>
      </c>
    </row>
    <row r="31" spans="1:15">
      <c r="A31" s="377"/>
      <c r="D31" s="111"/>
      <c r="E31" s="377"/>
    </row>
    <row r="32" spans="1:15">
      <c r="A32" s="378"/>
      <c r="D32" s="111"/>
      <c r="E32" s="377"/>
    </row>
    <row r="33" spans="1:8">
      <c r="A33" s="390"/>
    </row>
    <row r="34" spans="1:8">
      <c r="A34" s="391"/>
      <c r="H34" s="373"/>
    </row>
    <row r="35" spans="1:8" ht="13.5" thickBot="1">
      <c r="A35" s="391"/>
      <c r="H35" s="392">
        <f>SUM(H20:H33)</f>
        <v>6402.08</v>
      </c>
    </row>
    <row r="36" spans="1:8" ht="13.5" thickTop="1">
      <c r="A36" s="391"/>
    </row>
    <row r="37" spans="1:8" ht="20.100000000000001" customHeight="1">
      <c r="A37" s="393" t="s">
        <v>1686</v>
      </c>
      <c r="B37" s="39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 Thousand Four Hundred Two and 8/100 -----------</v>
      </c>
      <c r="C37" s="394"/>
      <c r="D37" s="395"/>
      <c r="E37" s="395"/>
      <c r="F37" s="395"/>
      <c r="G37" s="395"/>
      <c r="H37" s="395"/>
    </row>
    <row r="38" spans="1:8">
      <c r="A38" s="396"/>
    </row>
    <row r="39" spans="1:8" ht="25.5">
      <c r="A39" s="374" t="s">
        <v>10</v>
      </c>
      <c r="F39" s="397" t="s">
        <v>2894</v>
      </c>
      <c r="G39" s="398"/>
      <c r="H39" s="399"/>
    </row>
    <row r="40" spans="1:8">
      <c r="A40" s="400"/>
    </row>
    <row r="42" spans="1:8">
      <c r="A42" s="374" t="s">
        <v>51</v>
      </c>
      <c r="D42" s="401"/>
      <c r="E42" s="401"/>
    </row>
    <row r="43" spans="1:8">
      <c r="A43" s="402"/>
      <c r="B43" s="402"/>
      <c r="C43" s="452"/>
    </row>
    <row r="44" spans="1:8">
      <c r="F44" s="403" t="s">
        <v>7</v>
      </c>
    </row>
    <row r="45" spans="1:8">
      <c r="A45" s="131" t="s">
        <v>8</v>
      </c>
      <c r="D45" s="131" t="s">
        <v>8</v>
      </c>
      <c r="H45" s="404"/>
    </row>
    <row r="49" spans="1:8">
      <c r="A49" s="402" t="s">
        <v>51</v>
      </c>
      <c r="B49" s="402"/>
      <c r="C49" s="452"/>
      <c r="D49" s="402" t="s">
        <v>51</v>
      </c>
      <c r="F49" s="402"/>
      <c r="G49" s="402"/>
      <c r="H49" s="402"/>
    </row>
    <row r="50" spans="1:8" s="407" customFormat="1" ht="17.100000000000001" customHeight="1">
      <c r="A50" s="405" t="s">
        <v>2948</v>
      </c>
      <c r="B50" s="406"/>
      <c r="C50" s="406"/>
      <c r="D50" s="145" t="s">
        <v>103</v>
      </c>
      <c r="E50" s="400"/>
      <c r="F50" s="400" t="s">
        <v>3</v>
      </c>
      <c r="G50" s="400"/>
      <c r="H50" s="400"/>
    </row>
    <row r="51" spans="1:8">
      <c r="A51" s="405"/>
      <c r="F51" s="374" t="s">
        <v>2</v>
      </c>
    </row>
    <row r="53" spans="1:8">
      <c r="F53" s="408" t="s">
        <v>1</v>
      </c>
    </row>
    <row r="54" spans="1:8">
      <c r="F54" s="408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sheetPr codeName="Sheet259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15.42578125" style="111" customWidth="1"/>
    <col min="2" max="2" width="14.5703125" style="111" customWidth="1"/>
    <col min="3" max="3" width="23" style="111" customWidth="1"/>
    <col min="4" max="4" width="12.85546875" style="111" customWidth="1"/>
    <col min="5" max="5" width="8.85546875" style="111" customWidth="1"/>
    <col min="6" max="6" width="13.57031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32" t="s">
        <v>4963</v>
      </c>
    </row>
    <row r="10" spans="1:6">
      <c r="A10" s="111" t="s">
        <v>2284</v>
      </c>
      <c r="D10" s="112" t="s">
        <v>1162</v>
      </c>
      <c r="E10" s="132" t="s">
        <v>4961</v>
      </c>
    </row>
    <row r="11" spans="1:6">
      <c r="A11" s="111" t="s">
        <v>2285</v>
      </c>
      <c r="D11" s="112" t="s">
        <v>1187</v>
      </c>
      <c r="E11" s="132" t="s">
        <v>1094</v>
      </c>
    </row>
    <row r="12" spans="1:6">
      <c r="A12" s="111" t="s">
        <v>2286</v>
      </c>
      <c r="D12" s="112" t="s">
        <v>1188</v>
      </c>
      <c r="E12" s="111" t="s">
        <v>4964</v>
      </c>
    </row>
    <row r="13" spans="1:6">
      <c r="A13" s="111" t="s">
        <v>1385</v>
      </c>
      <c r="E13" s="131"/>
    </row>
    <row r="14" spans="1:6">
      <c r="A14" s="111" t="s">
        <v>2287</v>
      </c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8" spans="1:6">
      <c r="C18" s="2" t="s">
        <v>2288</v>
      </c>
    </row>
    <row r="19" spans="1:6">
      <c r="C19" s="2"/>
    </row>
    <row r="20" spans="1:6">
      <c r="A20" s="116" t="s">
        <v>2289</v>
      </c>
      <c r="B20" s="116" t="s">
        <v>2290</v>
      </c>
      <c r="C20" s="120" t="s">
        <v>2291</v>
      </c>
      <c r="F20" s="111">
        <v>2000</v>
      </c>
    </row>
    <row r="22" spans="1:6">
      <c r="C22" s="2"/>
    </row>
    <row r="24" spans="1:6">
      <c r="A24" s="116"/>
      <c r="B24" s="116"/>
      <c r="C24" s="120"/>
    </row>
    <row r="26" spans="1:6">
      <c r="C26" s="2"/>
    </row>
    <row r="27" spans="1:6">
      <c r="B27" s="120"/>
    </row>
    <row r="28" spans="1:6">
      <c r="A28" s="116"/>
      <c r="B28" s="116"/>
      <c r="C28" s="120"/>
    </row>
    <row r="30" spans="1:6" ht="13.5" thickBot="1">
      <c r="F30" s="127">
        <f>SUM(F20:F29)</f>
        <v>2000</v>
      </c>
    </row>
    <row r="31" spans="1:6" ht="13.5" thickTop="1"/>
    <row r="32" spans="1:6" ht="20.100000000000001" customHeight="1">
      <c r="A32" s="118" t="s">
        <v>204</v>
      </c>
      <c r="B32" s="118" t="s">
        <v>1409</v>
      </c>
      <c r="C32" s="119"/>
      <c r="D32" s="119"/>
      <c r="E32" s="119"/>
    </row>
    <row r="33" spans="1:6" ht="13.5" thickBot="1">
      <c r="A33" s="120"/>
      <c r="F33" s="259">
        <f>SUM(F20:F32)</f>
        <v>4000</v>
      </c>
    </row>
    <row r="34" spans="1:6" ht="13.5" thickTop="1">
      <c r="A34" s="111" t="s">
        <v>10</v>
      </c>
    </row>
    <row r="37" spans="1:6">
      <c r="C37" s="121"/>
    </row>
    <row r="38" spans="1:6">
      <c r="A38" s="122"/>
      <c r="B38" s="122"/>
    </row>
    <row r="39" spans="1:6" ht="25.5">
      <c r="A39" s="126"/>
      <c r="D39" s="265" t="s">
        <v>2894</v>
      </c>
      <c r="E39" s="266"/>
      <c r="F39" s="267"/>
    </row>
    <row r="40" spans="1:6">
      <c r="A40" s="123" t="s">
        <v>8</v>
      </c>
      <c r="F40" s="124"/>
    </row>
    <row r="44" spans="1:6">
      <c r="A44" s="122"/>
      <c r="B44" s="122"/>
      <c r="D44" s="122"/>
      <c r="E44" s="122"/>
      <c r="F44" s="122"/>
    </row>
    <row r="45" spans="1:6" s="126" customFormat="1" ht="17.100000000000001" customHeight="1">
      <c r="A45" s="125" t="s">
        <v>4</v>
      </c>
      <c r="B45" s="125"/>
      <c r="D45" s="126" t="s">
        <v>3</v>
      </c>
    </row>
    <row r="46" spans="1:6">
      <c r="D46" s="111" t="s">
        <v>2</v>
      </c>
    </row>
    <row r="48" spans="1:6">
      <c r="D48" s="2" t="s">
        <v>1</v>
      </c>
    </row>
    <row r="49" spans="1:4">
      <c r="D49" s="2" t="s">
        <v>0</v>
      </c>
    </row>
    <row r="50" spans="1:4">
      <c r="A50" s="151" t="s">
        <v>2948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6795C-4F58-4192-AD6E-D97B9EA92B0E}">
  <sheetPr codeName="Sheet515">
    <pageSetUpPr fitToPage="1"/>
  </sheetPr>
  <dimension ref="A1:H56"/>
  <sheetViews>
    <sheetView topLeftCell="A16" zoomScaleNormal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" style="1" customWidth="1"/>
    <col min="4" max="4" width="28.42578125" style="1" customWidth="1"/>
    <col min="5" max="5" width="0.71093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11" t="s">
        <v>5193</v>
      </c>
      <c r="H9" s="111"/>
    </row>
    <row r="10" spans="1:8">
      <c r="A10" s="111" t="s">
        <v>5194</v>
      </c>
      <c r="B10" s="111"/>
      <c r="C10" s="111"/>
      <c r="D10" s="111"/>
      <c r="E10" s="111"/>
      <c r="F10" s="112" t="s">
        <v>1162</v>
      </c>
      <c r="G10" s="111" t="s">
        <v>5191</v>
      </c>
      <c r="H10" s="111"/>
    </row>
    <row r="11" spans="1:8">
      <c r="A11" s="111" t="s">
        <v>5195</v>
      </c>
      <c r="B11" s="111"/>
      <c r="C11" s="111"/>
      <c r="D11" s="111"/>
      <c r="E11" s="111"/>
      <c r="F11" s="112" t="s">
        <v>1163</v>
      </c>
      <c r="G11" s="111" t="s">
        <v>1094</v>
      </c>
      <c r="H11" s="111"/>
    </row>
    <row r="12" spans="1:8">
      <c r="A12" s="111" t="s">
        <v>5196</v>
      </c>
      <c r="B12" s="111"/>
      <c r="C12" s="111"/>
      <c r="D12" s="111"/>
      <c r="E12" s="111"/>
      <c r="F12" s="112" t="s">
        <v>1135</v>
      </c>
      <c r="G12" s="120" t="s">
        <v>1270</v>
      </c>
      <c r="H12" s="111"/>
    </row>
    <row r="13" spans="1:8">
      <c r="A13" s="111" t="s">
        <v>5197</v>
      </c>
      <c r="B13" s="111"/>
      <c r="C13" s="111"/>
      <c r="D13" s="111"/>
      <c r="E13" s="111"/>
      <c r="F13" s="111"/>
      <c r="G13" s="13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2" t="s">
        <v>5200</v>
      </c>
      <c r="E18" s="2"/>
      <c r="F18" s="111"/>
      <c r="G18" s="111"/>
      <c r="H18" s="111"/>
    </row>
    <row r="19" spans="1:8">
      <c r="A19" s="116"/>
      <c r="B19" s="116"/>
      <c r="C19" s="116"/>
      <c r="D19" s="111"/>
      <c r="E19" s="111"/>
      <c r="F19" s="111"/>
      <c r="G19" s="111"/>
      <c r="H19" s="111"/>
    </row>
    <row r="20" spans="1:8">
      <c r="A20" s="116" t="s">
        <v>5198</v>
      </c>
      <c r="B20" s="116" t="s">
        <v>5199</v>
      </c>
      <c r="C20" s="116"/>
      <c r="D20" s="111" t="s">
        <v>5201</v>
      </c>
      <c r="E20" s="111"/>
      <c r="F20" s="111"/>
      <c r="G20" s="111"/>
      <c r="H20" s="111">
        <f>(11600*16)/7.550246</f>
        <v>24581.980507654986</v>
      </c>
    </row>
    <row r="21" spans="1:8">
      <c r="A21" s="111"/>
      <c r="B21" s="111"/>
      <c r="C21" s="111"/>
      <c r="D21" s="111" t="s">
        <v>5204</v>
      </c>
      <c r="E21" s="111"/>
      <c r="F21" s="111"/>
      <c r="G21" s="111"/>
      <c r="H21" s="111"/>
    </row>
    <row r="22" spans="1:8">
      <c r="A22" s="116"/>
      <c r="B22" s="116"/>
      <c r="C22" s="116"/>
      <c r="D22" s="111"/>
      <c r="H22" s="111"/>
    </row>
    <row r="23" spans="1:8">
      <c r="B23" s="116"/>
      <c r="C23" s="116"/>
      <c r="D23" s="111" t="s">
        <v>5202</v>
      </c>
      <c r="E23" s="111"/>
      <c r="F23" s="111"/>
      <c r="G23" s="111"/>
      <c r="H23" s="111">
        <f>(14300*14)/7.550246</f>
        <v>26515.692336382155</v>
      </c>
    </row>
    <row r="24" spans="1:8">
      <c r="B24" s="116"/>
      <c r="C24" s="116"/>
      <c r="D24" s="111" t="s">
        <v>5203</v>
      </c>
      <c r="E24" s="111"/>
      <c r="F24" s="111"/>
      <c r="G24" s="111"/>
      <c r="H24" s="111"/>
    </row>
    <row r="25" spans="1:8">
      <c r="B25" s="116"/>
      <c r="C25" s="116"/>
      <c r="D25" s="111"/>
      <c r="E25" s="111"/>
      <c r="F25" s="111"/>
      <c r="G25" s="111"/>
      <c r="H25" s="111"/>
    </row>
    <row r="26" spans="1:8">
      <c r="A26" s="116"/>
      <c r="B26" s="116"/>
      <c r="C26" s="116"/>
      <c r="D26" s="111" t="s">
        <v>1697</v>
      </c>
      <c r="E26" s="111"/>
      <c r="F26" s="111"/>
      <c r="G26" s="111"/>
      <c r="H26" s="111">
        <v>30</v>
      </c>
    </row>
    <row r="27" spans="1:8">
      <c r="A27" s="116"/>
      <c r="B27" s="116"/>
      <c r="C27" s="116"/>
      <c r="D27" s="111"/>
      <c r="E27" s="111"/>
      <c r="F27" s="111"/>
      <c r="G27" s="111"/>
      <c r="H27" s="111"/>
    </row>
    <row r="28" spans="1:8">
      <c r="A28" s="111"/>
      <c r="B28" s="111"/>
      <c r="C28" s="111"/>
      <c r="D28" s="111" t="s">
        <v>5205</v>
      </c>
      <c r="E28" s="111"/>
      <c r="F28" s="111"/>
      <c r="G28" s="111"/>
      <c r="H28" s="111"/>
    </row>
    <row r="29" spans="1:8">
      <c r="A29" s="116"/>
      <c r="B29" s="116"/>
      <c r="C29" s="116"/>
      <c r="D29" s="111"/>
      <c r="E29" s="111"/>
      <c r="F29" s="111"/>
      <c r="G29" s="111"/>
      <c r="H29" s="111"/>
    </row>
    <row r="30" spans="1:8">
      <c r="B30" s="116"/>
      <c r="C30" s="116"/>
      <c r="D30" s="111"/>
      <c r="E30" s="111"/>
      <c r="F30" s="111"/>
      <c r="G30" s="111"/>
      <c r="H30" s="111"/>
    </row>
    <row r="31" spans="1:8">
      <c r="A31" s="116"/>
      <c r="B31" s="116"/>
      <c r="C31" s="116"/>
      <c r="D31" s="111"/>
      <c r="E31" s="111"/>
      <c r="F31" s="111"/>
      <c r="G31" s="111"/>
      <c r="H31" s="111"/>
    </row>
    <row r="32" spans="1:8">
      <c r="C32" s="111"/>
      <c r="D32" s="111"/>
      <c r="E32" s="111"/>
      <c r="F32" s="111"/>
      <c r="G32" s="111"/>
      <c r="H32" s="111"/>
    </row>
    <row r="34" spans="1:8">
      <c r="A34" s="111"/>
      <c r="B34" s="111"/>
      <c r="C34" s="111"/>
      <c r="D34" s="111"/>
      <c r="E34" s="111"/>
      <c r="F34" s="111"/>
      <c r="G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51127.672844037137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Fifty-One Thousand One Hundred Twenty-Seven and 67/100 -----------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383CC-5ABF-4ACB-B17E-F05876657C73}">
  <sheetPr codeName="Sheet513">
    <pageSetUpPr fitToPage="1"/>
  </sheetPr>
  <dimension ref="A1:M54"/>
  <sheetViews>
    <sheetView zoomScaleNormal="100" workbookViewId="0">
      <selection activeCell="G9" sqref="G9:G13"/>
    </sheetView>
  </sheetViews>
  <sheetFormatPr defaultRowHeight="12.75"/>
  <cols>
    <col min="1" max="1" width="16" style="374" customWidth="1"/>
    <col min="2" max="2" width="13.42578125" style="374" customWidth="1"/>
    <col min="3" max="3" width="21" style="374" customWidth="1"/>
    <col min="4" max="4" width="12.42578125" style="374" customWidth="1"/>
    <col min="5" max="5" width="8.7109375" style="374" customWidth="1"/>
    <col min="6" max="6" width="13.28515625" style="374" customWidth="1"/>
    <col min="7" max="16384" width="9.140625" style="373"/>
  </cols>
  <sheetData>
    <row r="1" spans="1:12" ht="15">
      <c r="A1" s="534" t="s">
        <v>26</v>
      </c>
      <c r="B1" s="534"/>
      <c r="C1" s="534"/>
      <c r="D1" s="534"/>
      <c r="E1" s="534"/>
      <c r="F1" s="534"/>
    </row>
    <row r="2" spans="1:12">
      <c r="A2" s="535" t="s">
        <v>25</v>
      </c>
      <c r="B2" s="535"/>
      <c r="C2" s="535"/>
      <c r="D2" s="535"/>
      <c r="E2" s="535"/>
      <c r="F2" s="535"/>
    </row>
    <row r="3" spans="1:12">
      <c r="A3" s="535" t="s">
        <v>1480</v>
      </c>
      <c r="B3" s="535"/>
      <c r="C3" s="535"/>
      <c r="D3" s="535"/>
      <c r="E3" s="535"/>
      <c r="F3" s="535"/>
    </row>
    <row r="4" spans="1:12">
      <c r="A4" s="535" t="s">
        <v>1684</v>
      </c>
      <c r="B4" s="535"/>
      <c r="C4" s="535"/>
      <c r="D4" s="535"/>
      <c r="E4" s="535"/>
      <c r="F4" s="535"/>
    </row>
    <row r="8" spans="1:12">
      <c r="A8" s="374" t="s">
        <v>24</v>
      </c>
      <c r="D8" s="375" t="s">
        <v>23</v>
      </c>
    </row>
    <row r="9" spans="1:12">
      <c r="D9" s="376" t="s">
        <v>1110</v>
      </c>
      <c r="E9" s="132" t="s">
        <v>5163</v>
      </c>
    </row>
    <row r="10" spans="1:12">
      <c r="A10" s="131" t="s">
        <v>5165</v>
      </c>
      <c r="D10" s="376" t="s">
        <v>1685</v>
      </c>
      <c r="E10" s="132" t="s">
        <v>5162</v>
      </c>
    </row>
    <row r="11" spans="1:12">
      <c r="A11" s="131" t="s">
        <v>5166</v>
      </c>
      <c r="D11" s="376" t="s">
        <v>1163</v>
      </c>
      <c r="E11" s="132" t="s">
        <v>1094</v>
      </c>
    </row>
    <row r="12" spans="1:12">
      <c r="A12" s="131" t="s">
        <v>5167</v>
      </c>
      <c r="D12" s="376" t="s">
        <v>1188</v>
      </c>
      <c r="E12" s="120" t="s">
        <v>5164</v>
      </c>
    </row>
    <row r="13" spans="1:12">
      <c r="A13" s="131" t="s">
        <v>5168</v>
      </c>
      <c r="E13" s="111"/>
    </row>
    <row r="15" spans="1:12">
      <c r="I15" s="379" t="s">
        <v>4530</v>
      </c>
      <c r="J15" s="377"/>
      <c r="K15" s="377"/>
      <c r="L15" s="377"/>
    </row>
    <row r="16" spans="1:12" s="385" customFormat="1" ht="20.100000000000001" customHeight="1">
      <c r="A16" s="380" t="s">
        <v>1140</v>
      </c>
      <c r="B16" s="381" t="s">
        <v>1098</v>
      </c>
      <c r="C16" s="382" t="s">
        <v>14</v>
      </c>
      <c r="D16" s="380"/>
      <c r="E16" s="383"/>
      <c r="F16" s="384" t="s">
        <v>13</v>
      </c>
      <c r="I16" s="379"/>
      <c r="J16" s="377"/>
      <c r="K16" s="377"/>
      <c r="L16" s="377"/>
    </row>
    <row r="17" spans="1:13">
      <c r="A17" s="377"/>
      <c r="B17" s="377"/>
      <c r="C17" s="111"/>
      <c r="D17" s="111"/>
      <c r="E17" s="111"/>
      <c r="F17" s="111"/>
      <c r="I17" s="377" t="s">
        <v>2719</v>
      </c>
      <c r="J17" s="377"/>
      <c r="K17" s="377"/>
      <c r="L17" s="377">
        <v>1350</v>
      </c>
    </row>
    <row r="18" spans="1:13">
      <c r="A18" s="116" t="s">
        <v>5169</v>
      </c>
      <c r="B18" s="116" t="s">
        <v>5170</v>
      </c>
      <c r="C18" s="111" t="s">
        <v>5171</v>
      </c>
      <c r="D18" s="111"/>
      <c r="E18" s="111"/>
      <c r="F18" s="111">
        <v>670</v>
      </c>
      <c r="I18" s="377" t="s">
        <v>1583</v>
      </c>
      <c r="J18" s="377"/>
      <c r="K18" s="377"/>
      <c r="L18" s="377">
        <v>600</v>
      </c>
    </row>
    <row r="19" spans="1:13">
      <c r="A19" s="386"/>
      <c r="B19" s="387"/>
      <c r="C19" s="2"/>
      <c r="D19" s="111"/>
      <c r="E19" s="111"/>
      <c r="F19" s="111"/>
      <c r="G19" s="377"/>
      <c r="I19" s="377" t="s">
        <v>4518</v>
      </c>
      <c r="J19" s="377"/>
      <c r="K19" s="377"/>
      <c r="L19" s="377">
        <v>150</v>
      </c>
    </row>
    <row r="20" spans="1:13">
      <c r="A20" s="386"/>
      <c r="B20" s="387"/>
      <c r="C20" s="2"/>
      <c r="D20" s="111"/>
      <c r="E20" s="111"/>
      <c r="F20" s="111"/>
      <c r="G20" s="377"/>
      <c r="I20" s="377"/>
      <c r="J20" s="377"/>
      <c r="K20" s="377"/>
      <c r="L20" s="377"/>
    </row>
    <row r="21" spans="1:13">
      <c r="B21" s="388"/>
      <c r="C21" s="111"/>
      <c r="D21" s="111"/>
      <c r="E21" s="111"/>
      <c r="F21" s="111"/>
      <c r="G21" s="377"/>
      <c r="I21" s="377"/>
      <c r="J21" s="377"/>
      <c r="K21" s="377"/>
      <c r="L21" s="377"/>
    </row>
    <row r="22" spans="1:13">
      <c r="A22" s="111"/>
      <c r="B22" s="389"/>
      <c r="C22" s="111"/>
      <c r="D22" s="111"/>
      <c r="E22" s="111"/>
      <c r="F22" s="111"/>
      <c r="G22" s="377"/>
    </row>
    <row r="23" spans="1:13">
      <c r="A23" s="120"/>
      <c r="B23" s="387"/>
      <c r="C23" s="111"/>
      <c r="D23" s="111"/>
      <c r="E23" s="111"/>
      <c r="F23" s="111"/>
      <c r="G23" s="377"/>
      <c r="I23" s="2" t="s">
        <v>4622</v>
      </c>
      <c r="J23" s="111"/>
      <c r="K23" s="111"/>
      <c r="L23" s="111"/>
      <c r="M23" s="377"/>
    </row>
    <row r="24" spans="1:13">
      <c r="A24" s="111"/>
      <c r="B24" s="377"/>
      <c r="C24" s="111"/>
      <c r="D24" s="111"/>
      <c r="E24" s="111"/>
      <c r="F24" s="111"/>
      <c r="G24" s="377"/>
      <c r="I24" s="2"/>
      <c r="J24" s="111"/>
      <c r="K24" s="111"/>
      <c r="L24" s="111"/>
      <c r="M24" s="377"/>
    </row>
    <row r="25" spans="1:13">
      <c r="A25" s="377"/>
      <c r="B25" s="377"/>
      <c r="C25" s="2"/>
      <c r="D25" s="111"/>
      <c r="E25" s="111"/>
      <c r="F25" s="111"/>
      <c r="G25" s="377"/>
      <c r="I25" s="111" t="s">
        <v>2719</v>
      </c>
      <c r="J25" s="111"/>
      <c r="K25" s="111"/>
      <c r="L25" s="111">
        <v>810</v>
      </c>
      <c r="M25" s="377"/>
    </row>
    <row r="26" spans="1:13">
      <c r="A26" s="378"/>
      <c r="B26" s="377"/>
      <c r="C26" s="2"/>
      <c r="D26" s="111"/>
      <c r="E26" s="111"/>
      <c r="F26" s="111"/>
      <c r="G26" s="377"/>
      <c r="I26" s="111" t="s">
        <v>1583</v>
      </c>
      <c r="J26" s="111"/>
      <c r="K26" s="111"/>
      <c r="L26" s="111">
        <v>300</v>
      </c>
      <c r="M26" s="377"/>
    </row>
    <row r="27" spans="1:13">
      <c r="A27" s="111"/>
      <c r="B27" s="377"/>
      <c r="C27" s="111"/>
      <c r="D27" s="111"/>
      <c r="E27" s="111"/>
      <c r="F27" s="111"/>
      <c r="G27" s="377"/>
      <c r="I27" s="111" t="s">
        <v>4518</v>
      </c>
      <c r="J27" s="111"/>
      <c r="K27" s="111"/>
      <c r="L27" s="111">
        <v>100</v>
      </c>
      <c r="M27" s="377"/>
    </row>
    <row r="28" spans="1:13">
      <c r="A28" s="120"/>
      <c r="B28" s="378"/>
      <c r="C28" s="111"/>
      <c r="D28" s="377"/>
      <c r="E28" s="377"/>
      <c r="F28" s="377"/>
      <c r="G28" s="377"/>
      <c r="I28" s="111"/>
      <c r="J28" s="111"/>
      <c r="K28" s="111"/>
      <c r="L28" s="111"/>
      <c r="M28" s="377"/>
    </row>
    <row r="29" spans="1:13">
      <c r="A29" s="120"/>
      <c r="B29" s="377"/>
      <c r="C29" s="111"/>
      <c r="D29" s="377"/>
      <c r="E29" s="377"/>
      <c r="F29" s="377"/>
      <c r="I29" s="111"/>
      <c r="J29" s="111"/>
      <c r="K29" s="111"/>
      <c r="L29" s="111"/>
      <c r="M29" s="377"/>
    </row>
    <row r="30" spans="1:13">
      <c r="A30" s="111"/>
      <c r="C30" s="111"/>
    </row>
    <row r="31" spans="1:13">
      <c r="A31" s="120"/>
      <c r="C31" s="111"/>
    </row>
    <row r="32" spans="1:13">
      <c r="A32" s="111"/>
      <c r="C32" s="111"/>
    </row>
    <row r="33" spans="1:6">
      <c r="A33" s="120"/>
      <c r="C33" s="111"/>
    </row>
    <row r="34" spans="1:6">
      <c r="A34" s="391"/>
      <c r="F34" s="373"/>
    </row>
    <row r="35" spans="1:6" ht="13.5" thickBot="1">
      <c r="A35" s="391"/>
      <c r="F35" s="392">
        <f>SUM(F17:F33)</f>
        <v>670</v>
      </c>
    </row>
    <row r="36" spans="1:6" ht="13.5" thickTop="1">
      <c r="A36" s="391"/>
    </row>
    <row r="37" spans="1:6" ht="21.75" customHeight="1">
      <c r="A37" s="393" t="s">
        <v>1686</v>
      </c>
      <c r="B37" s="39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Six Hundred Seventy and NO/100 -----------</v>
      </c>
      <c r="C37" s="395"/>
      <c r="D37" s="395"/>
      <c r="E37" s="395"/>
      <c r="F37" s="395"/>
    </row>
    <row r="38" spans="1:6">
      <c r="A38" s="396"/>
    </row>
    <row r="39" spans="1:6" ht="25.5">
      <c r="A39" s="374" t="s">
        <v>10</v>
      </c>
      <c r="D39" s="397" t="s">
        <v>2894</v>
      </c>
      <c r="E39" s="398"/>
      <c r="F39" s="399"/>
    </row>
    <row r="40" spans="1:6">
      <c r="A40" s="400"/>
    </row>
    <row r="41" spans="1:6" s="407" customFormat="1" ht="17.100000000000001" customHeight="1">
      <c r="A41" s="374"/>
      <c r="B41" s="374"/>
      <c r="C41" s="374"/>
      <c r="D41" s="374"/>
      <c r="E41" s="374"/>
      <c r="F41" s="374"/>
    </row>
    <row r="42" spans="1:6">
      <c r="A42" s="374" t="s">
        <v>51</v>
      </c>
      <c r="C42" s="401"/>
    </row>
    <row r="43" spans="1:6">
      <c r="A43" s="402"/>
      <c r="B43" s="402"/>
    </row>
    <row r="44" spans="1:6">
      <c r="D44" s="403" t="s">
        <v>7</v>
      </c>
    </row>
    <row r="45" spans="1:6">
      <c r="A45" s="374" t="s">
        <v>8</v>
      </c>
      <c r="F45" s="404"/>
    </row>
    <row r="49" spans="1:6">
      <c r="A49" s="402" t="s">
        <v>51</v>
      </c>
      <c r="B49" s="402"/>
      <c r="D49" s="402"/>
      <c r="E49" s="402"/>
      <c r="F49" s="402"/>
    </row>
    <row r="50" spans="1:6">
      <c r="A50" s="405" t="s">
        <v>2948</v>
      </c>
      <c r="B50" s="406"/>
      <c r="C50" s="400"/>
      <c r="D50" s="400" t="s">
        <v>3</v>
      </c>
      <c r="E50" s="400"/>
      <c r="F50" s="400"/>
    </row>
    <row r="51" spans="1:6">
      <c r="A51" s="405"/>
      <c r="D51" s="374" t="s">
        <v>2</v>
      </c>
    </row>
    <row r="53" spans="1:6">
      <c r="D53" s="408" t="s">
        <v>1</v>
      </c>
    </row>
    <row r="54" spans="1:6">
      <c r="D54" s="408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sheetPr codeName="Sheet486"/>
  <dimension ref="A1:H53"/>
  <sheetViews>
    <sheetView topLeftCell="A10" workbookViewId="0">
      <selection activeCell="G9" sqref="G9:G13"/>
    </sheetView>
  </sheetViews>
  <sheetFormatPr defaultRowHeight="12.75"/>
  <cols>
    <col min="1" max="1" width="16" style="111" customWidth="1"/>
    <col min="2" max="2" width="13.42578125" style="111" customWidth="1"/>
    <col min="3" max="3" width="1.7109375" style="111" customWidth="1"/>
    <col min="4" max="4" width="21" style="111" customWidth="1"/>
    <col min="5" max="5" width="1.140625" style="111" customWidth="1"/>
    <col min="6" max="6" width="16.42578125" style="111" customWidth="1"/>
    <col min="7" max="7" width="9" style="111" customWidth="1"/>
    <col min="8" max="8" width="13.28515625" style="11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1110</v>
      </c>
      <c r="G9" s="111" t="s">
        <v>5598</v>
      </c>
    </row>
    <row r="10" spans="1:8">
      <c r="A10" s="111" t="s">
        <v>4235</v>
      </c>
      <c r="F10" s="112" t="s">
        <v>1685</v>
      </c>
      <c r="G10" s="111" t="s">
        <v>5599</v>
      </c>
    </row>
    <row r="11" spans="1:8">
      <c r="A11" s="111" t="s">
        <v>4236</v>
      </c>
      <c r="F11" s="112" t="s">
        <v>1163</v>
      </c>
      <c r="G11" s="111" t="s">
        <v>2023</v>
      </c>
    </row>
    <row r="12" spans="1:8">
      <c r="A12" s="111" t="s">
        <v>4237</v>
      </c>
      <c r="F12" s="112" t="s">
        <v>1188</v>
      </c>
      <c r="G12" s="120" t="s">
        <v>1270</v>
      </c>
    </row>
    <row r="13" spans="1:8">
      <c r="A13" s="111" t="s">
        <v>4238</v>
      </c>
    </row>
    <row r="14" spans="1:8">
      <c r="A14" s="111" t="s">
        <v>4239</v>
      </c>
    </row>
    <row r="16" spans="1:8" s="15" customFormat="1" ht="20.100000000000001" customHeight="1">
      <c r="A16" s="129" t="s">
        <v>1097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73"/>
    </row>
    <row r="18" spans="1:8">
      <c r="D18" s="2" t="s">
        <v>4830</v>
      </c>
      <c r="E18" s="2"/>
    </row>
    <row r="19" spans="1:8">
      <c r="A19" s="173"/>
      <c r="D19" s="2"/>
      <c r="E19" s="2"/>
    </row>
    <row r="20" spans="1:8">
      <c r="A20" s="116" t="s">
        <v>5600</v>
      </c>
      <c r="B20" s="335" t="s">
        <v>5601</v>
      </c>
      <c r="C20" s="120"/>
      <c r="D20" s="111" t="s">
        <v>5602</v>
      </c>
      <c r="H20" s="111">
        <f>11118.5*4.1253</f>
        <v>45867.148050000003</v>
      </c>
    </row>
    <row r="21" spans="1:8">
      <c r="A21" s="116"/>
      <c r="B21" s="121"/>
      <c r="C21" s="121"/>
      <c r="D21" s="111" t="s">
        <v>5603</v>
      </c>
    </row>
    <row r="23" spans="1:8">
      <c r="D23" s="111" t="s">
        <v>1697</v>
      </c>
      <c r="H23" s="111">
        <v>30</v>
      </c>
    </row>
    <row r="24" spans="1:8">
      <c r="A24" s="174"/>
      <c r="B24" s="121"/>
      <c r="C24" s="121"/>
    </row>
    <row r="28" spans="1:8">
      <c r="D28" s="2"/>
      <c r="E28" s="2"/>
    </row>
    <row r="29" spans="1:8">
      <c r="A29" s="116"/>
      <c r="B29" s="121"/>
      <c r="C29" s="121"/>
    </row>
    <row r="30" spans="1:8">
      <c r="A30" s="116"/>
      <c r="B30" s="121"/>
      <c r="C30" s="121"/>
    </row>
    <row r="31" spans="1:8">
      <c r="A31" s="121"/>
    </row>
    <row r="32" spans="1:8">
      <c r="A32" s="174"/>
      <c r="B32" s="120"/>
      <c r="C32" s="120"/>
    </row>
    <row r="33" spans="1:8">
      <c r="A33" s="7"/>
      <c r="B33" s="1"/>
      <c r="C33" s="1"/>
      <c r="D33" s="1"/>
      <c r="E33" s="1"/>
      <c r="F33" s="1"/>
      <c r="G33" s="1"/>
      <c r="H33" s="1"/>
    </row>
    <row r="34" spans="1:8" ht="13.5" thickBot="1">
      <c r="A34" s="173"/>
      <c r="H34" s="117">
        <f>SUM(H19:H33)</f>
        <v>45897.148050000003</v>
      </c>
    </row>
    <row r="35" spans="1:8" ht="13.5" thickTop="1">
      <c r="A35" s="173"/>
    </row>
    <row r="36" spans="1:8" ht="20.100000000000001" customHeight="1">
      <c r="A36" s="118" t="s">
        <v>1686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Forty-Five Thousand Eight Hundred Ninety-Seven and 15/100 -----------</v>
      </c>
      <c r="C36" s="202"/>
      <c r="D36" s="119"/>
      <c r="E36" s="119"/>
      <c r="F36" s="261"/>
      <c r="G36" s="261"/>
      <c r="H36" s="261"/>
    </row>
    <row r="37" spans="1:8">
      <c r="A37" s="120"/>
    </row>
    <row r="38" spans="1:8" ht="25.5">
      <c r="A38" s="111" t="s">
        <v>10</v>
      </c>
      <c r="F38" s="265" t="s">
        <v>2894</v>
      </c>
      <c r="G38" s="266"/>
      <c r="H38" s="267"/>
    </row>
    <row r="39" spans="1:8">
      <c r="A39" s="1"/>
      <c r="F39" s="309"/>
      <c r="G39" s="309"/>
      <c r="H39" s="309"/>
    </row>
    <row r="40" spans="1:8">
      <c r="F40" s="310"/>
      <c r="G40" s="311"/>
      <c r="H40" s="311"/>
    </row>
    <row r="41" spans="1:8">
      <c r="A41" s="1"/>
      <c r="B41" s="1"/>
      <c r="C41" s="1"/>
    </row>
    <row r="42" spans="1:8">
      <c r="A42" s="122"/>
      <c r="B42" s="122"/>
    </row>
    <row r="44" spans="1:8">
      <c r="A44" s="111" t="s">
        <v>8</v>
      </c>
      <c r="D44" s="111" t="s">
        <v>8</v>
      </c>
      <c r="F44" s="123" t="s">
        <v>7</v>
      </c>
      <c r="H44" s="124"/>
    </row>
    <row r="47" spans="1:8">
      <c r="A47" s="1"/>
      <c r="D47" s="1"/>
    </row>
    <row r="48" spans="1:8">
      <c r="A48" s="122" t="s">
        <v>51</v>
      </c>
      <c r="B48" s="122"/>
      <c r="D48" s="122" t="s">
        <v>51</v>
      </c>
      <c r="F48" s="122"/>
      <c r="G48" s="122"/>
      <c r="H48" s="122"/>
    </row>
    <row r="49" spans="1:8" s="3" customFormat="1" ht="17.100000000000001" customHeight="1">
      <c r="A49" s="111" t="s">
        <v>2948</v>
      </c>
      <c r="B49" s="125"/>
      <c r="C49" s="125"/>
      <c r="D49" s="111" t="s">
        <v>103</v>
      </c>
      <c r="E49" s="126"/>
      <c r="F49" s="126" t="s">
        <v>3</v>
      </c>
      <c r="G49" s="126"/>
      <c r="H49" s="126"/>
    </row>
    <row r="50" spans="1:8">
      <c r="F50" s="111" t="s">
        <v>2</v>
      </c>
    </row>
    <row r="52" spans="1:8">
      <c r="F52" s="2" t="s">
        <v>1</v>
      </c>
    </row>
    <row r="53" spans="1:8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sheetPr codeName="Sheet439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5703125" style="131" customWidth="1"/>
    <col min="2" max="2" width="18.42578125" style="131" customWidth="1"/>
    <col min="3" max="3" width="20" style="131" customWidth="1"/>
    <col min="4" max="4" width="17.42578125" style="131" customWidth="1"/>
    <col min="5" max="5" width="9.285156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1716</v>
      </c>
      <c r="E9" s="131" t="s">
        <v>3829</v>
      </c>
    </row>
    <row r="10" spans="1:6">
      <c r="A10" s="131" t="s">
        <v>3831</v>
      </c>
      <c r="D10" s="132" t="s">
        <v>1162</v>
      </c>
      <c r="E10" s="143" t="s">
        <v>3816</v>
      </c>
    </row>
    <row r="11" spans="1:6">
      <c r="A11" s="131" t="s">
        <v>3832</v>
      </c>
      <c r="D11" s="132" t="s">
        <v>1163</v>
      </c>
      <c r="E11" s="132" t="s">
        <v>1094</v>
      </c>
    </row>
    <row r="12" spans="1:6">
      <c r="A12" s="131" t="s">
        <v>3833</v>
      </c>
      <c r="D12" s="132" t="s">
        <v>1096</v>
      </c>
      <c r="E12" s="140" t="s">
        <v>3830</v>
      </c>
    </row>
    <row r="13" spans="1:6">
      <c r="A13" s="131" t="s">
        <v>3834</v>
      </c>
    </row>
    <row r="16" spans="1:6" s="95" customFormat="1" ht="20.100000000000001" customHeight="1">
      <c r="A16" s="90" t="s">
        <v>1113</v>
      </c>
      <c r="B16" s="91" t="s">
        <v>1114</v>
      </c>
      <c r="C16" s="92" t="s">
        <v>14</v>
      </c>
      <c r="D16" s="90"/>
      <c r="E16" s="93"/>
      <c r="F16" s="94" t="s">
        <v>13</v>
      </c>
    </row>
    <row r="18" spans="1:6" ht="12.75" customHeight="1">
      <c r="A18" s="158"/>
      <c r="B18" s="305"/>
      <c r="C18" s="110" t="s">
        <v>3096</v>
      </c>
    </row>
    <row r="19" spans="1:6">
      <c r="A19" s="140"/>
      <c r="B19" s="305"/>
    </row>
    <row r="20" spans="1:6">
      <c r="A20" s="132" t="s">
        <v>2834</v>
      </c>
      <c r="B20" s="306"/>
      <c r="C20" s="131" t="s">
        <v>3635</v>
      </c>
      <c r="F20" s="131">
        <v>1000</v>
      </c>
    </row>
    <row r="21" spans="1:6">
      <c r="A21" s="158" t="s">
        <v>3835</v>
      </c>
      <c r="B21" s="306"/>
      <c r="C21" s="131" t="s">
        <v>3806</v>
      </c>
    </row>
    <row r="22" spans="1:6">
      <c r="A22" s="158"/>
      <c r="B22" s="306"/>
    </row>
    <row r="23" spans="1:6">
      <c r="A23" s="132"/>
      <c r="B23" s="306"/>
    </row>
    <row r="24" spans="1:6">
      <c r="A24" s="158"/>
      <c r="B24" s="306"/>
    </row>
    <row r="25" spans="1:6">
      <c r="B25" s="247"/>
    </row>
    <row r="26" spans="1:6">
      <c r="A26" s="158"/>
      <c r="B26" s="305"/>
    </row>
    <row r="27" spans="1:6">
      <c r="A27" s="140"/>
      <c r="B27" s="305"/>
    </row>
    <row r="28" spans="1:6">
      <c r="A28" s="158"/>
      <c r="B28" s="306"/>
    </row>
    <row r="31" spans="1:6">
      <c r="F31" s="110"/>
    </row>
    <row r="32" spans="1:6">
      <c r="B32" s="140"/>
    </row>
    <row r="33" spans="1:6">
      <c r="B33" s="140"/>
    </row>
    <row r="35" spans="1:6" ht="13.5" thickBot="1">
      <c r="F35" s="164">
        <f>SUM(F18:F34)</f>
        <v>1000</v>
      </c>
    </row>
    <row r="36" spans="1:6" ht="13.5" thickTop="1"/>
    <row r="37" spans="1:6" ht="20.100000000000001" customHeight="1">
      <c r="A37" s="138" t="s">
        <v>1717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and NO/100 -----------</v>
      </c>
      <c r="C37" s="139"/>
      <c r="D37" s="139"/>
      <c r="E37" s="139"/>
      <c r="F37" s="139"/>
    </row>
    <row r="38" spans="1:6">
      <c r="A38" s="140"/>
    </row>
    <row r="39" spans="1:6" ht="25.5">
      <c r="A39" s="143" t="s">
        <v>10</v>
      </c>
      <c r="D39" s="283" t="s">
        <v>2894</v>
      </c>
      <c r="E39" s="284"/>
      <c r="F39" s="285"/>
    </row>
    <row r="40" spans="1:6">
      <c r="A40" s="143"/>
    </row>
    <row r="41" spans="1:6">
      <c r="A41" s="143"/>
      <c r="D41" s="291"/>
      <c r="E41" s="291"/>
      <c r="F41" s="291"/>
    </row>
    <row r="42" spans="1:6">
      <c r="A42" s="143"/>
      <c r="C42" s="141"/>
      <c r="D42" s="286"/>
      <c r="E42" s="287"/>
      <c r="F42" s="287"/>
    </row>
    <row r="43" spans="1:6">
      <c r="A43" s="142"/>
      <c r="B43" s="142"/>
    </row>
    <row r="44" spans="1:6">
      <c r="A44" s="143"/>
    </row>
    <row r="45" spans="1:6">
      <c r="A45" s="143" t="s">
        <v>8</v>
      </c>
      <c r="D45" s="143" t="s">
        <v>7</v>
      </c>
      <c r="F45" s="144"/>
    </row>
    <row r="46" spans="1:6">
      <c r="A46" s="143"/>
    </row>
    <row r="47" spans="1:6">
      <c r="A47" s="143"/>
    </row>
    <row r="48" spans="1:6">
      <c r="A48" s="143"/>
    </row>
    <row r="49" spans="1:6">
      <c r="A49" s="248"/>
      <c r="B49" s="142"/>
      <c r="D49" s="142"/>
      <c r="E49" s="142"/>
      <c r="F49" s="142"/>
    </row>
    <row r="50" spans="1:6" s="147" customFormat="1" ht="17.100000000000001" customHeight="1">
      <c r="A50" s="143" t="s">
        <v>2948</v>
      </c>
      <c r="B50" s="146"/>
      <c r="D50" s="147" t="s">
        <v>3</v>
      </c>
    </row>
    <row r="51" spans="1:6">
      <c r="A51" s="143"/>
      <c r="D51" s="131" t="s">
        <v>2</v>
      </c>
    </row>
    <row r="52" spans="1:6">
      <c r="A52" s="143"/>
    </row>
    <row r="53" spans="1:6">
      <c r="D53" s="110" t="s">
        <v>1</v>
      </c>
    </row>
    <row r="54" spans="1:6">
      <c r="D54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sheetPr codeName="Sheet15">
    <pageSetUpPr fitToPage="1"/>
  </sheetPr>
  <dimension ref="A1:F52"/>
  <sheetViews>
    <sheetView topLeftCell="A25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3010</v>
      </c>
    </row>
    <row r="10" spans="1:6">
      <c r="A10" s="111" t="s">
        <v>1136</v>
      </c>
      <c r="D10" s="112" t="s">
        <v>1162</v>
      </c>
      <c r="E10" s="112" t="s">
        <v>3001</v>
      </c>
    </row>
    <row r="11" spans="1:6">
      <c r="A11" s="111" t="s">
        <v>1137</v>
      </c>
      <c r="D11" s="112" t="s">
        <v>1163</v>
      </c>
      <c r="E11" s="112" t="s">
        <v>1094</v>
      </c>
    </row>
    <row r="12" spans="1:6">
      <c r="A12" s="111" t="s">
        <v>1138</v>
      </c>
      <c r="D12" s="112" t="s">
        <v>1135</v>
      </c>
      <c r="E12" s="112" t="s">
        <v>3011</v>
      </c>
    </row>
    <row r="13" spans="1:6">
      <c r="A13" s="111" t="s">
        <v>1139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9" spans="1:6">
      <c r="A19" s="161" t="s">
        <v>3000</v>
      </c>
      <c r="B19" s="116" t="s">
        <v>3012</v>
      </c>
      <c r="C19" s="111" t="s">
        <v>1329</v>
      </c>
      <c r="F19" s="111">
        <v>2300</v>
      </c>
    </row>
    <row r="20" spans="1:6">
      <c r="C20" s="111" t="s">
        <v>3013</v>
      </c>
    </row>
    <row r="27" spans="1:6">
      <c r="F27" s="2"/>
    </row>
    <row r="28" spans="1:6">
      <c r="B28" s="120"/>
    </row>
    <row r="29" spans="1:6">
      <c r="B29" s="120"/>
    </row>
    <row r="30" spans="1:6">
      <c r="B30" s="120"/>
    </row>
    <row r="31" spans="1:6">
      <c r="B31" s="120"/>
    </row>
    <row r="33" spans="1:6" ht="13.5" thickBot="1">
      <c r="F33" s="127">
        <f>SUM(F19:F32)</f>
        <v>2300</v>
      </c>
    </row>
    <row r="34" spans="1:6" ht="13.5" thickTop="1"/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Thousand Three Hundred and NO/100 -----------</v>
      </c>
      <c r="C35" s="119"/>
      <c r="D35" s="119"/>
      <c r="E35" s="119"/>
      <c r="F35" s="261"/>
    </row>
    <row r="36" spans="1:6">
      <c r="A36" s="120"/>
    </row>
    <row r="37" spans="1:6" ht="25.5">
      <c r="A37" s="123" t="s">
        <v>10</v>
      </c>
      <c r="D37" s="265" t="s">
        <v>2894</v>
      </c>
      <c r="E37" s="266"/>
      <c r="F37" s="267"/>
    </row>
    <row r="38" spans="1:6">
      <c r="A38" s="123"/>
    </row>
    <row r="39" spans="1:6">
      <c r="A39" s="126"/>
    </row>
    <row r="40" spans="1:6">
      <c r="A40" s="123"/>
      <c r="C40" s="121"/>
    </row>
    <row r="41" spans="1:6">
      <c r="A41" s="150"/>
      <c r="B41" s="122"/>
    </row>
    <row r="43" spans="1:6">
      <c r="A43" s="123" t="s">
        <v>8</v>
      </c>
      <c r="D43" s="123" t="s">
        <v>7</v>
      </c>
      <c r="F43" s="124"/>
    </row>
    <row r="44" spans="1:6">
      <c r="A44" s="123"/>
    </row>
    <row r="45" spans="1:6">
      <c r="A45" s="123"/>
    </row>
    <row r="46" spans="1:6">
      <c r="A46" s="123"/>
    </row>
    <row r="47" spans="1:6">
      <c r="A47" s="150"/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A49" s="123"/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sheetPr codeName="Sheet220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16" style="111" customWidth="1"/>
    <col min="2" max="2" width="13.42578125" style="111" customWidth="1"/>
    <col min="3" max="3" width="21" style="111" customWidth="1"/>
    <col min="4" max="4" width="12.28515625" style="111" customWidth="1"/>
    <col min="5" max="5" width="9" style="111" customWidth="1"/>
    <col min="6" max="6" width="13.28515625" style="11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1929</v>
      </c>
    </row>
    <row r="10" spans="1:6">
      <c r="A10" s="111" t="s">
        <v>1931</v>
      </c>
      <c r="D10" s="112" t="s">
        <v>1685</v>
      </c>
      <c r="E10" s="112" t="s">
        <v>1926</v>
      </c>
    </row>
    <row r="11" spans="1:6">
      <c r="A11" s="111" t="s">
        <v>1932</v>
      </c>
      <c r="D11" s="112" t="s">
        <v>1163</v>
      </c>
      <c r="E11" s="112" t="s">
        <v>1094</v>
      </c>
    </row>
    <row r="12" spans="1:6">
      <c r="A12" s="111" t="s">
        <v>1336</v>
      </c>
      <c r="D12" s="112" t="s">
        <v>1135</v>
      </c>
      <c r="E12" s="112" t="s">
        <v>1930</v>
      </c>
    </row>
    <row r="13" spans="1:6">
      <c r="A13" s="111" t="s">
        <v>1933</v>
      </c>
      <c r="E13" s="131"/>
    </row>
    <row r="14" spans="1:6">
      <c r="A14" s="111" t="s">
        <v>1934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73"/>
    </row>
    <row r="18" spans="1:6">
      <c r="C18" s="2" t="s">
        <v>1927</v>
      </c>
    </row>
    <row r="19" spans="1:6">
      <c r="C19" s="2" t="s">
        <v>1928</v>
      </c>
    </row>
    <row r="20" spans="1:6">
      <c r="A20" s="173"/>
    </row>
    <row r="21" spans="1:6">
      <c r="A21" s="111" t="s">
        <v>1935</v>
      </c>
      <c r="B21" s="116"/>
      <c r="C21" s="111" t="s">
        <v>1936</v>
      </c>
      <c r="F21" s="111">
        <v>1000</v>
      </c>
    </row>
    <row r="24" spans="1:6">
      <c r="A24" s="112"/>
    </row>
    <row r="25" spans="1:6">
      <c r="A25" s="175"/>
    </row>
    <row r="26" spans="1:6">
      <c r="A26" s="116"/>
      <c r="B26" s="116"/>
    </row>
    <row r="27" spans="1:6">
      <c r="A27" s="1"/>
      <c r="B27" s="1"/>
    </row>
    <row r="28" spans="1:6">
      <c r="A28" s="1"/>
      <c r="B28" s="1"/>
      <c r="C28" s="1"/>
      <c r="D28" s="1"/>
      <c r="E28" s="1"/>
      <c r="F28" s="1"/>
    </row>
    <row r="29" spans="1:6" ht="13.5" thickBot="1">
      <c r="A29" s="173"/>
      <c r="F29" s="117">
        <f>SUM(F20:F28)</f>
        <v>1000</v>
      </c>
    </row>
    <row r="30" spans="1:6" ht="13.5" thickTop="1">
      <c r="A30" s="173"/>
    </row>
    <row r="31" spans="1:6">
      <c r="A31" s="173"/>
    </row>
    <row r="32" spans="1:6" ht="20.100000000000001" customHeight="1">
      <c r="A32" s="118" t="s">
        <v>1686</v>
      </c>
      <c r="B32" s="118" t="s">
        <v>1462</v>
      </c>
      <c r="C32" s="119"/>
      <c r="D32" s="119"/>
      <c r="E32" s="119"/>
    </row>
    <row r="33" spans="1:6" ht="13.5" thickBot="1">
      <c r="A33" s="120"/>
      <c r="F33" s="259">
        <f>SUM(F20:F32)</f>
        <v>2000</v>
      </c>
    </row>
    <row r="34" spans="1:6" ht="13.5" thickTop="1">
      <c r="A34" s="111" t="s">
        <v>10</v>
      </c>
    </row>
    <row r="37" spans="1:6">
      <c r="A37" s="111" t="s">
        <v>51</v>
      </c>
      <c r="C37" s="121"/>
    </row>
    <row r="38" spans="1:6">
      <c r="A38" s="122"/>
      <c r="B38" s="122"/>
    </row>
    <row r="39" spans="1:6" ht="25.5">
      <c r="A39" s="126"/>
      <c r="D39" s="265" t="s">
        <v>2894</v>
      </c>
      <c r="E39" s="266"/>
      <c r="F39" s="267"/>
    </row>
    <row r="40" spans="1:6">
      <c r="A40" s="111" t="s">
        <v>8</v>
      </c>
      <c r="D40" s="123" t="s">
        <v>7</v>
      </c>
      <c r="F40" s="124"/>
    </row>
    <row r="44" spans="1:6">
      <c r="A44" s="122" t="s">
        <v>51</v>
      </c>
      <c r="B44" s="122"/>
      <c r="D44" s="122"/>
      <c r="E44" s="122"/>
      <c r="F44" s="122"/>
    </row>
    <row r="45" spans="1:6" s="3" customFormat="1" ht="17.100000000000001" customHeight="1">
      <c r="A45" s="126" t="s">
        <v>4</v>
      </c>
      <c r="B45" s="125"/>
      <c r="C45" s="126"/>
      <c r="D45" s="126" t="s">
        <v>3</v>
      </c>
      <c r="E45" s="126"/>
      <c r="F45" s="126"/>
    </row>
    <row r="46" spans="1:6">
      <c r="D46" s="111" t="s">
        <v>2</v>
      </c>
    </row>
    <row r="48" spans="1:6">
      <c r="D48" s="2" t="s">
        <v>1</v>
      </c>
    </row>
    <row r="49" spans="1:4">
      <c r="D49" s="2" t="s">
        <v>0</v>
      </c>
    </row>
    <row r="50" spans="1:4">
      <c r="A50" s="151" t="s">
        <v>2948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sheetPr codeName="Sheet16">
    <pageSetUpPr fitToPage="1"/>
  </sheetPr>
  <dimension ref="A1:F52"/>
  <sheetViews>
    <sheetView topLeftCell="A13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197</v>
      </c>
    </row>
    <row r="10" spans="1:6">
      <c r="A10" s="1" t="s">
        <v>196</v>
      </c>
      <c r="D10" s="21" t="s">
        <v>21</v>
      </c>
      <c r="E10" s="21" t="s">
        <v>40</v>
      </c>
    </row>
    <row r="11" spans="1:6">
      <c r="A11" s="1" t="s">
        <v>195</v>
      </c>
      <c r="D11" s="21" t="s">
        <v>19</v>
      </c>
      <c r="E11" s="21" t="s">
        <v>18</v>
      </c>
    </row>
    <row r="12" spans="1:6">
      <c r="D12" s="21" t="s">
        <v>17</v>
      </c>
      <c r="E12" s="20" t="s">
        <v>194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0" spans="2:6">
      <c r="C20" s="1" t="s">
        <v>193</v>
      </c>
      <c r="F20" s="1">
        <v>1327.75</v>
      </c>
    </row>
    <row r="22" spans="2:6">
      <c r="C22" s="1" t="s">
        <v>39</v>
      </c>
    </row>
    <row r="24" spans="2:6">
      <c r="B24" s="8" t="s">
        <v>43</v>
      </c>
      <c r="C24" s="1" t="s">
        <v>192</v>
      </c>
      <c r="F24" s="1">
        <v>164.5</v>
      </c>
    </row>
    <row r="25" spans="2:6">
      <c r="B25" s="8" t="s">
        <v>191</v>
      </c>
      <c r="C25" s="1" t="s">
        <v>190</v>
      </c>
      <c r="F25" s="1">
        <v>46.16</v>
      </c>
    </row>
    <row r="33" spans="1:6" ht="13.5" thickBot="1">
      <c r="F33" s="12">
        <f>SUM(F20:F32)</f>
        <v>1538.41</v>
      </c>
    </row>
    <row r="34" spans="1:6" ht="13.5" thickTop="1"/>
    <row r="35" spans="1:6" ht="20.100000000000001" customHeight="1">
      <c r="A35" s="10" t="s">
        <v>189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sheetPr codeName="Sheet1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203</v>
      </c>
    </row>
    <row r="10" spans="1:6">
      <c r="A10" s="1" t="s">
        <v>202</v>
      </c>
      <c r="D10" s="21" t="s">
        <v>21</v>
      </c>
      <c r="E10" s="21" t="s">
        <v>185</v>
      </c>
    </row>
    <row r="11" spans="1:6">
      <c r="D11" s="21" t="s">
        <v>19</v>
      </c>
      <c r="E11" s="21" t="s">
        <v>18</v>
      </c>
    </row>
    <row r="12" spans="1:6">
      <c r="D12" s="21" t="s">
        <v>17</v>
      </c>
      <c r="E12" s="20" t="s">
        <v>201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2" spans="3:6">
      <c r="C22" s="1" t="s">
        <v>200</v>
      </c>
      <c r="F22" s="1">
        <v>1290</v>
      </c>
    </row>
    <row r="23" spans="3:6">
      <c r="C23" s="1" t="s">
        <v>199</v>
      </c>
    </row>
    <row r="33" spans="1:6" ht="13.5" thickBot="1">
      <c r="F33" s="12">
        <f>SUM(F20:F32)</f>
        <v>1290</v>
      </c>
    </row>
    <row r="34" spans="1:6" ht="13.5" thickTop="1"/>
    <row r="35" spans="1:6" ht="20.100000000000001" customHeight="1">
      <c r="A35" s="10" t="s">
        <v>198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sheetPr codeName="Sheet18"/>
  <dimension ref="A1:Q55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42578125" style="111" customWidth="1"/>
    <col min="2" max="2" width="12.42578125" style="111" customWidth="1"/>
    <col min="3" max="3" width="1" style="111" customWidth="1"/>
    <col min="4" max="4" width="21.7109375" style="111" customWidth="1"/>
    <col min="5" max="5" width="1.140625" style="111" customWidth="1"/>
    <col min="6" max="6" width="12.7109375" style="111" customWidth="1"/>
    <col min="7" max="7" width="10.85546875" style="111" customWidth="1"/>
    <col min="8" max="8" width="12.85546875" style="111" customWidth="1"/>
    <col min="9" max="16384" width="9.140625" style="111"/>
  </cols>
  <sheetData>
    <row r="1" spans="1:17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7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7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7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7">
      <c r="A8" s="111" t="s">
        <v>24</v>
      </c>
      <c r="F8" s="22" t="s">
        <v>23</v>
      </c>
    </row>
    <row r="9" spans="1:17">
      <c r="F9" s="112" t="s">
        <v>1110</v>
      </c>
      <c r="G9" s="489" t="s">
        <v>7200</v>
      </c>
    </row>
    <row r="10" spans="1:17">
      <c r="A10" s="111" t="s">
        <v>1115</v>
      </c>
      <c r="F10" s="112" t="s">
        <v>1162</v>
      </c>
      <c r="G10" s="489" t="s">
        <v>7191</v>
      </c>
      <c r="J10" s="111" t="s">
        <v>6964</v>
      </c>
      <c r="K10" s="111">
        <v>44096</v>
      </c>
      <c r="L10" s="111" t="s">
        <v>6965</v>
      </c>
    </row>
    <row r="11" spans="1:17">
      <c r="A11" s="111" t="s">
        <v>1111</v>
      </c>
      <c r="F11" s="112" t="s">
        <v>1163</v>
      </c>
      <c r="G11" s="489" t="s">
        <v>1094</v>
      </c>
    </row>
    <row r="12" spans="1:17">
      <c r="A12" s="111" t="s">
        <v>1112</v>
      </c>
      <c r="F12" s="112" t="s">
        <v>1169</v>
      </c>
      <c r="G12" s="483" t="s">
        <v>7150</v>
      </c>
    </row>
    <row r="13" spans="1:17">
      <c r="G13" s="483" t="s">
        <v>7192</v>
      </c>
    </row>
    <row r="14" spans="1:17">
      <c r="G14" s="483"/>
    </row>
    <row r="16" spans="1:17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  <c r="J16" s="156" t="s">
        <v>6728</v>
      </c>
      <c r="K16" s="485" t="s">
        <v>6637</v>
      </c>
      <c r="L16" s="486"/>
      <c r="M16" s="483" t="s">
        <v>6737</v>
      </c>
      <c r="N16" s="483"/>
      <c r="O16" s="483"/>
      <c r="P16" s="483"/>
      <c r="Q16" s="483">
        <v>300</v>
      </c>
    </row>
    <row r="17" spans="1:17">
      <c r="A17" s="153"/>
      <c r="J17" s="154"/>
      <c r="K17" s="485" t="s">
        <v>6736</v>
      </c>
      <c r="L17" s="483"/>
      <c r="M17" s="483" t="s">
        <v>5175</v>
      </c>
      <c r="N17" s="483"/>
      <c r="O17" s="483"/>
      <c r="P17" s="483"/>
      <c r="Q17" s="483">
        <f>Q16*6%</f>
        <v>18</v>
      </c>
    </row>
    <row r="18" spans="1:17">
      <c r="A18" s="153"/>
      <c r="D18" s="2"/>
      <c r="E18" s="2"/>
      <c r="J18" s="154"/>
      <c r="K18" s="483"/>
      <c r="L18" s="483"/>
      <c r="M18" s="483"/>
      <c r="N18" s="483"/>
      <c r="O18" s="483"/>
      <c r="P18" s="483"/>
      <c r="Q18" s="483"/>
    </row>
    <row r="19" spans="1:17">
      <c r="A19" s="156" t="s">
        <v>7201</v>
      </c>
      <c r="B19" s="155" t="s">
        <v>6982</v>
      </c>
      <c r="C19" s="155"/>
      <c r="D19" s="483" t="s">
        <v>7203</v>
      </c>
      <c r="H19" s="111">
        <v>300</v>
      </c>
      <c r="J19" s="121"/>
      <c r="K19" s="483"/>
      <c r="L19" s="483"/>
      <c r="M19" s="483"/>
      <c r="N19" s="483"/>
      <c r="O19" s="483"/>
      <c r="P19" s="483"/>
      <c r="Q19" s="483"/>
    </row>
    <row r="20" spans="1:17">
      <c r="A20" s="156"/>
      <c r="B20" s="485" t="s">
        <v>7202</v>
      </c>
      <c r="C20" s="120"/>
      <c r="D20" s="483" t="s">
        <v>5175</v>
      </c>
      <c r="H20" s="111">
        <f>H19*6%</f>
        <v>18</v>
      </c>
    </row>
    <row r="21" spans="1:17">
      <c r="A21" s="154"/>
      <c r="B21" s="485"/>
    </row>
    <row r="22" spans="1:17">
      <c r="A22" s="154"/>
      <c r="D22" s="111" t="s">
        <v>7204</v>
      </c>
      <c r="H22" s="111">
        <v>300</v>
      </c>
      <c r="K22" s="483" t="s">
        <v>6969</v>
      </c>
      <c r="L22" s="483"/>
      <c r="M22" s="483"/>
      <c r="N22" s="483"/>
      <c r="O22" s="483">
        <v>400</v>
      </c>
      <c r="P22" s="483"/>
    </row>
    <row r="23" spans="1:17">
      <c r="A23" s="121"/>
      <c r="D23" s="483" t="s">
        <v>5175</v>
      </c>
      <c r="H23" s="111">
        <f>H22*6%</f>
        <v>18</v>
      </c>
      <c r="K23" s="483" t="s">
        <v>6970</v>
      </c>
      <c r="L23" s="483"/>
      <c r="M23" s="483"/>
      <c r="N23" s="483"/>
      <c r="O23" s="483"/>
      <c r="P23" s="483"/>
    </row>
    <row r="24" spans="1:17">
      <c r="A24" s="121"/>
      <c r="K24" s="483"/>
      <c r="L24" s="483"/>
      <c r="M24" s="483"/>
      <c r="N24" s="483"/>
      <c r="O24" s="483"/>
      <c r="P24" s="483"/>
    </row>
    <row r="25" spans="1:17">
      <c r="A25" s="121"/>
      <c r="K25" s="483" t="s">
        <v>6966</v>
      </c>
      <c r="L25" s="483"/>
      <c r="M25" s="483"/>
      <c r="N25" s="483"/>
      <c r="O25" s="483"/>
      <c r="P25" s="483"/>
    </row>
    <row r="26" spans="1:17">
      <c r="A26" s="121"/>
      <c r="K26" s="483" t="s">
        <v>6967</v>
      </c>
      <c r="L26" s="483"/>
      <c r="M26" s="483"/>
      <c r="N26" s="483"/>
      <c r="O26" s="483"/>
      <c r="P26" s="483"/>
    </row>
    <row r="27" spans="1:17">
      <c r="A27" s="121"/>
      <c r="K27" s="483" t="s">
        <v>6968</v>
      </c>
      <c r="L27" s="483"/>
      <c r="M27" s="483"/>
      <c r="N27" s="483"/>
      <c r="O27" s="483"/>
      <c r="P27" s="483"/>
    </row>
    <row r="28" spans="1:17" s="483" customFormat="1">
      <c r="A28" s="121"/>
    </row>
    <row r="29" spans="1:17" s="483" customFormat="1">
      <c r="A29" s="121"/>
    </row>
    <row r="30" spans="1:17">
      <c r="A30" s="154"/>
      <c r="K30" s="483"/>
      <c r="L30" s="483"/>
      <c r="M30" s="483"/>
      <c r="N30" s="483"/>
      <c r="O30" s="483"/>
      <c r="P30" s="483"/>
    </row>
    <row r="31" spans="1:17">
      <c r="A31" s="153"/>
      <c r="K31" s="483"/>
      <c r="L31" s="483"/>
      <c r="M31" s="483"/>
      <c r="N31" s="483"/>
      <c r="O31" s="483"/>
      <c r="P31" s="483"/>
    </row>
    <row r="32" spans="1:17">
      <c r="A32" s="153"/>
      <c r="K32" s="483"/>
      <c r="L32" s="483"/>
      <c r="M32" s="483"/>
      <c r="N32" s="483"/>
      <c r="O32" s="483"/>
      <c r="P32" s="483"/>
    </row>
    <row r="33" spans="1:16">
      <c r="A33" s="153"/>
      <c r="K33" s="483"/>
      <c r="L33" s="483"/>
      <c r="M33" s="483"/>
      <c r="N33" s="483"/>
      <c r="O33" s="483"/>
      <c r="P33" s="483"/>
    </row>
    <row r="34" spans="1:16">
      <c r="A34" s="153"/>
    </row>
    <row r="35" spans="1:16">
      <c r="A35" s="153"/>
    </row>
    <row r="36" spans="1:16" ht="13.5" thickBot="1">
      <c r="A36" s="153"/>
      <c r="H36" s="117">
        <f>SUM(H19:H35)</f>
        <v>636</v>
      </c>
    </row>
    <row r="37" spans="1:16" ht="13.5" thickTop="1">
      <c r="A37" s="153"/>
    </row>
    <row r="38" spans="1:16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Six Hundred Thirty-Six and NO/100 -----------</v>
      </c>
      <c r="C38" s="202"/>
      <c r="D38" s="119"/>
      <c r="E38" s="119"/>
      <c r="F38" s="119"/>
      <c r="G38" s="119"/>
      <c r="H38" s="119"/>
    </row>
    <row r="39" spans="1:16">
      <c r="A39" s="120" t="s">
        <v>11</v>
      </c>
    </row>
    <row r="40" spans="1:16" ht="25.5">
      <c r="A40" s="111" t="s">
        <v>10</v>
      </c>
      <c r="F40" s="265" t="s">
        <v>2894</v>
      </c>
      <c r="G40" s="266"/>
      <c r="H40" s="267"/>
    </row>
    <row r="42" spans="1:16">
      <c r="A42" s="126"/>
    </row>
    <row r="43" spans="1:16">
      <c r="D43" s="121"/>
      <c r="E43" s="121"/>
    </row>
    <row r="44" spans="1:16">
      <c r="A44" s="122"/>
      <c r="B44" s="122"/>
      <c r="C44" s="433"/>
    </row>
    <row r="46" spans="1:16">
      <c r="A46" s="123" t="s">
        <v>8</v>
      </c>
      <c r="D46" s="123" t="s">
        <v>8</v>
      </c>
      <c r="F46" s="123" t="s">
        <v>7</v>
      </c>
      <c r="H46" s="124"/>
    </row>
    <row r="50" spans="1:8">
      <c r="A50" s="122"/>
      <c r="B50" s="122"/>
      <c r="C50" s="433"/>
      <c r="D50" s="122"/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F52" s="111" t="s">
        <v>2</v>
      </c>
    </row>
    <row r="53" spans="1:8">
      <c r="A53" s="151"/>
    </row>
    <row r="54" spans="1:8">
      <c r="F54" s="2" t="s">
        <v>1</v>
      </c>
    </row>
    <row r="55" spans="1:8">
      <c r="F55" s="2" t="s">
        <v>0</v>
      </c>
    </row>
  </sheetData>
  <mergeCells count="4">
    <mergeCell ref="A4:H4"/>
    <mergeCell ref="A1:H1"/>
    <mergeCell ref="A2:H2"/>
    <mergeCell ref="A3:H3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sheetPr codeName="Sheet19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42578125" style="111" customWidth="1"/>
    <col min="2" max="2" width="12.42578125" style="111" customWidth="1"/>
    <col min="3" max="3" width="25.42578125" style="111" customWidth="1"/>
    <col min="4" max="4" width="12.7109375" style="111" customWidth="1"/>
    <col min="5" max="5" width="1.85546875" style="111" customWidth="1"/>
    <col min="6" max="6" width="15.28515625" style="111" customWidth="1"/>
    <col min="7" max="7" width="11.7109375" style="111" customWidth="1"/>
    <col min="8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1170</v>
      </c>
      <c r="E9" s="121" t="s">
        <v>1174</v>
      </c>
      <c r="F9" s="111" t="s">
        <v>1356</v>
      </c>
    </row>
    <row r="10" spans="1:6">
      <c r="A10" s="111" t="s">
        <v>1115</v>
      </c>
      <c r="D10" s="112" t="s">
        <v>1171</v>
      </c>
      <c r="E10" s="121" t="s">
        <v>1174</v>
      </c>
      <c r="F10" s="152" t="s">
        <v>1355</v>
      </c>
    </row>
    <row r="11" spans="1:6">
      <c r="A11" s="111" t="s">
        <v>1111</v>
      </c>
      <c r="D11" s="112" t="s">
        <v>1172</v>
      </c>
      <c r="E11" s="121" t="s">
        <v>1174</v>
      </c>
      <c r="F11" s="112" t="s">
        <v>1094</v>
      </c>
    </row>
    <row r="12" spans="1:6">
      <c r="A12" s="111" t="s">
        <v>1112</v>
      </c>
      <c r="D12" s="112" t="s">
        <v>1173</v>
      </c>
      <c r="E12" s="121" t="s">
        <v>1174</v>
      </c>
      <c r="F12" s="112" t="s">
        <v>1357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A18" s="153"/>
    </row>
    <row r="19" spans="1:6">
      <c r="A19" s="156" t="s">
        <v>1358</v>
      </c>
      <c r="B19" s="155" t="s">
        <v>1359</v>
      </c>
      <c r="C19" s="111" t="s">
        <v>1360</v>
      </c>
      <c r="F19" s="111">
        <v>1742.5</v>
      </c>
    </row>
    <row r="20" spans="1:6">
      <c r="A20" s="154"/>
    </row>
    <row r="21" spans="1:6">
      <c r="A21" s="154"/>
    </row>
    <row r="22" spans="1:6">
      <c r="A22" s="154"/>
    </row>
    <row r="23" spans="1:6">
      <c r="A23" s="121"/>
    </row>
    <row r="24" spans="1:6">
      <c r="A24" s="121"/>
    </row>
    <row r="25" spans="1:6">
      <c r="A25" s="121"/>
    </row>
    <row r="26" spans="1:6">
      <c r="A26" s="154"/>
    </row>
    <row r="27" spans="1:6">
      <c r="A27" s="154"/>
    </row>
    <row r="28" spans="1:6">
      <c r="A28" s="153"/>
    </row>
    <row r="29" spans="1:6">
      <c r="A29" s="153"/>
    </row>
    <row r="30" spans="1:6">
      <c r="A30" s="153"/>
    </row>
    <row r="31" spans="1:6">
      <c r="A31" s="153"/>
    </row>
    <row r="32" spans="1:6">
      <c r="A32" s="153"/>
    </row>
    <row r="33" spans="1:6" ht="13.5" thickBot="1">
      <c r="A33" s="153"/>
      <c r="F33" s="117">
        <f>SUM(F20:F32)</f>
        <v>0</v>
      </c>
    </row>
    <row r="34" spans="1:6" ht="13.5" thickTop="1">
      <c r="A34" s="153"/>
    </row>
    <row r="35" spans="1:6" ht="20.100000000000001" customHeight="1">
      <c r="A35" s="118" t="s">
        <v>204</v>
      </c>
      <c r="B35" s="118" t="s">
        <v>1361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sheetPr codeName="Sheet20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42578125" style="111" customWidth="1"/>
    <col min="2" max="2" width="12.42578125" style="111" customWidth="1"/>
    <col min="3" max="3" width="25.42578125" style="111" customWidth="1"/>
    <col min="4" max="4" width="12.7109375" style="111" customWidth="1"/>
    <col min="5" max="5" width="1.8554687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1170</v>
      </c>
      <c r="E9" s="121" t="s">
        <v>1174</v>
      </c>
      <c r="F9" s="111" t="s">
        <v>1190</v>
      </c>
    </row>
    <row r="10" spans="1:6">
      <c r="A10" s="111" t="s">
        <v>1115</v>
      </c>
      <c r="D10" s="112" t="s">
        <v>1171</v>
      </c>
      <c r="E10" s="121" t="s">
        <v>1174</v>
      </c>
      <c r="F10" s="152" t="s">
        <v>1189</v>
      </c>
    </row>
    <row r="11" spans="1:6">
      <c r="A11" s="111" t="s">
        <v>1111</v>
      </c>
      <c r="D11" s="112" t="s">
        <v>1172</v>
      </c>
      <c r="E11" s="121" t="s">
        <v>1174</v>
      </c>
      <c r="F11" s="112" t="s">
        <v>1094</v>
      </c>
    </row>
    <row r="12" spans="1:6">
      <c r="A12" s="111" t="s">
        <v>1112</v>
      </c>
      <c r="D12" s="112" t="s">
        <v>1173</v>
      </c>
      <c r="E12" s="121" t="s">
        <v>1174</v>
      </c>
      <c r="F12" s="112" t="s">
        <v>1191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A18" s="153"/>
    </row>
    <row r="19" spans="1:6">
      <c r="A19" s="156" t="s">
        <v>1175</v>
      </c>
      <c r="B19" s="155">
        <v>22302</v>
      </c>
      <c r="C19" s="111" t="s">
        <v>1176</v>
      </c>
      <c r="F19" s="111">
        <v>153.43</v>
      </c>
    </row>
    <row r="20" spans="1:6">
      <c r="A20" s="154"/>
    </row>
    <row r="21" spans="1:6">
      <c r="A21" s="154"/>
    </row>
    <row r="22" spans="1:6">
      <c r="A22" s="154"/>
    </row>
    <row r="23" spans="1:6">
      <c r="A23" s="121"/>
    </row>
    <row r="24" spans="1:6">
      <c r="A24" s="121"/>
    </row>
    <row r="25" spans="1:6">
      <c r="A25" s="121"/>
    </row>
    <row r="26" spans="1:6">
      <c r="A26" s="154"/>
    </row>
    <row r="27" spans="1:6">
      <c r="A27" s="154"/>
    </row>
    <row r="28" spans="1:6">
      <c r="A28" s="153"/>
    </row>
    <row r="29" spans="1:6">
      <c r="A29" s="153"/>
    </row>
    <row r="30" spans="1:6">
      <c r="A30" s="153"/>
    </row>
    <row r="31" spans="1:6">
      <c r="A31" s="153"/>
    </row>
    <row r="32" spans="1:6">
      <c r="A32" s="153"/>
    </row>
    <row r="33" spans="1:6" ht="13.5" thickBot="1">
      <c r="A33" s="153"/>
      <c r="F33" s="117">
        <f>SUM(F20:F32)</f>
        <v>0</v>
      </c>
    </row>
    <row r="34" spans="1:6" ht="13.5" thickTop="1">
      <c r="A34" s="153"/>
    </row>
    <row r="35" spans="1:6" ht="20.100000000000001" customHeight="1">
      <c r="A35" s="118" t="s">
        <v>204</v>
      </c>
      <c r="B35" s="118" t="s">
        <v>1177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97">
    <pageSetUpPr fitToPage="1"/>
  </sheetPr>
  <dimension ref="A1:F52"/>
  <sheetViews>
    <sheetView topLeftCell="A10" workbookViewId="0">
      <selection activeCell="G9" sqref="G9:G13"/>
    </sheetView>
  </sheetViews>
  <sheetFormatPr defaultRowHeight="12.75"/>
  <cols>
    <col min="1" max="1" width="15.85546875" style="131" customWidth="1"/>
    <col min="2" max="2" width="14.42578125" style="131" customWidth="1"/>
    <col min="3" max="3" width="21" style="131" customWidth="1"/>
    <col min="4" max="4" width="12.7109375" style="131" customWidth="1"/>
    <col min="5" max="5" width="8.425781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1110</v>
      </c>
      <c r="E9" s="131" t="s">
        <v>1859</v>
      </c>
    </row>
    <row r="10" spans="1:6">
      <c r="A10" s="131" t="s">
        <v>1861</v>
      </c>
      <c r="D10" s="132" t="s">
        <v>1855</v>
      </c>
      <c r="E10" s="132" t="s">
        <v>1853</v>
      </c>
    </row>
    <row r="11" spans="1:6">
      <c r="D11" s="132" t="s">
        <v>1181</v>
      </c>
      <c r="E11" s="132" t="s">
        <v>1094</v>
      </c>
    </row>
    <row r="12" spans="1:6">
      <c r="D12" s="132" t="s">
        <v>1182</v>
      </c>
      <c r="E12" s="132" t="s">
        <v>1860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8" spans="1:6">
      <c r="C18" s="110" t="s">
        <v>1862</v>
      </c>
    </row>
    <row r="19" spans="1:6">
      <c r="A19" s="163"/>
    </row>
    <row r="20" spans="1:6">
      <c r="A20" s="165"/>
      <c r="B20" s="158"/>
      <c r="C20" s="131" t="s">
        <v>335</v>
      </c>
      <c r="F20" s="149">
        <v>3000</v>
      </c>
    </row>
    <row r="21" spans="1:6">
      <c r="A21" s="165"/>
      <c r="B21" s="140"/>
      <c r="F21" s="149"/>
    </row>
    <row r="22" spans="1:6">
      <c r="F22" s="149"/>
    </row>
    <row r="23" spans="1:6">
      <c r="A23" s="162"/>
      <c r="F23" s="149"/>
    </row>
    <row r="24" spans="1:6">
      <c r="A24" s="162"/>
      <c r="B24" s="140"/>
      <c r="F24" s="149"/>
    </row>
    <row r="25" spans="1:6">
      <c r="A25" s="163"/>
      <c r="B25" s="140"/>
      <c r="C25" s="110"/>
      <c r="F25" s="149"/>
    </row>
    <row r="26" spans="1:6">
      <c r="A26" s="162"/>
      <c r="B26" s="140"/>
    </row>
    <row r="27" spans="1:6">
      <c r="A27" s="162"/>
    </row>
    <row r="28" spans="1:6">
      <c r="A28" s="162"/>
    </row>
    <row r="33" spans="1:6" ht="13.5" thickBot="1">
      <c r="F33" s="164">
        <f>SUM(F20:F32)</f>
        <v>3000</v>
      </c>
    </row>
    <row r="34" spans="1:6" ht="13.5" thickTop="1"/>
    <row r="35" spans="1:6" ht="20.100000000000001" customHeight="1">
      <c r="A35" s="138" t="s">
        <v>204</v>
      </c>
      <c r="B35" s="138" t="s">
        <v>1863</v>
      </c>
      <c r="C35" s="139"/>
      <c r="D35" s="139"/>
      <c r="E35" s="139"/>
      <c r="F35" s="139"/>
    </row>
    <row r="36" spans="1:6">
      <c r="A36" s="140" t="s">
        <v>11</v>
      </c>
    </row>
    <row r="37" spans="1:6">
      <c r="A37" s="131" t="s">
        <v>10</v>
      </c>
    </row>
    <row r="39" spans="1:6" ht="25.5">
      <c r="A39" s="147"/>
      <c r="D39" s="265" t="s">
        <v>2894</v>
      </c>
      <c r="E39" s="266"/>
      <c r="F39" s="267"/>
    </row>
    <row r="40" spans="1:6">
      <c r="A40" s="131" t="s">
        <v>52</v>
      </c>
      <c r="C40" s="141"/>
    </row>
    <row r="41" spans="1:6">
      <c r="A41" s="142"/>
      <c r="B41" s="142"/>
    </row>
    <row r="43" spans="1:6">
      <c r="A43" s="143" t="s">
        <v>8</v>
      </c>
      <c r="D43" s="143" t="s">
        <v>7</v>
      </c>
      <c r="F43" s="144"/>
    </row>
    <row r="47" spans="1:6">
      <c r="A47" s="142" t="s">
        <v>51</v>
      </c>
      <c r="B47" s="142"/>
      <c r="D47" s="142"/>
      <c r="E47" s="142"/>
      <c r="F47" s="142"/>
    </row>
    <row r="48" spans="1:6" s="147" customFormat="1" ht="17.100000000000001" customHeight="1">
      <c r="A48" s="146" t="s">
        <v>4</v>
      </c>
      <c r="B48" s="146"/>
      <c r="D48" s="147" t="s">
        <v>3</v>
      </c>
    </row>
    <row r="49" spans="1:4">
      <c r="D49" s="131" t="s">
        <v>2</v>
      </c>
    </row>
    <row r="50" spans="1:4">
      <c r="A50" s="145" t="s">
        <v>2948</v>
      </c>
    </row>
    <row r="51" spans="1:4">
      <c r="D51" s="110" t="s">
        <v>1</v>
      </c>
    </row>
    <row r="52" spans="1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92"/>
  <dimension ref="A1:P55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85546875" style="131" customWidth="1"/>
    <col min="2" max="2" width="12.7109375" style="131" customWidth="1"/>
    <col min="3" max="3" width="1.85546875" style="131" customWidth="1"/>
    <col min="4" max="4" width="23.85546875" style="131" customWidth="1"/>
    <col min="5" max="5" width="2.28515625" style="131" customWidth="1"/>
    <col min="6" max="6" width="12.85546875" style="131" customWidth="1"/>
    <col min="7" max="7" width="8.28515625" style="131" customWidth="1"/>
    <col min="8" max="8" width="12.7109375" style="131" customWidth="1"/>
    <col min="9" max="10" width="9.140625" style="131"/>
    <col min="11" max="11" width="9.7109375" style="131" bestFit="1" customWidth="1"/>
    <col min="12" max="16384" width="9.140625" style="131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1123</v>
      </c>
      <c r="G9" s="111" t="s">
        <v>4882</v>
      </c>
    </row>
    <row r="10" spans="1:8">
      <c r="A10" s="131" t="s">
        <v>3773</v>
      </c>
      <c r="F10" s="132" t="s">
        <v>1124</v>
      </c>
      <c r="G10" s="111" t="s">
        <v>4877</v>
      </c>
    </row>
    <row r="11" spans="1:8">
      <c r="A11" s="140" t="s">
        <v>4884</v>
      </c>
      <c r="F11" s="132" t="s">
        <v>1125</v>
      </c>
      <c r="G11" s="111" t="s">
        <v>1094</v>
      </c>
    </row>
    <row r="12" spans="1:8">
      <c r="A12" s="131" t="s">
        <v>4885</v>
      </c>
      <c r="F12" s="132" t="s">
        <v>1096</v>
      </c>
      <c r="G12" s="111" t="s">
        <v>4883</v>
      </c>
    </row>
    <row r="13" spans="1:8">
      <c r="A13" s="131" t="s">
        <v>1354</v>
      </c>
      <c r="G13" s="111"/>
    </row>
    <row r="16" spans="1:8" s="95" customFormat="1" ht="20.100000000000001" customHeight="1">
      <c r="A16" s="90" t="s">
        <v>1140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8" spans="1:16">
      <c r="C18" s="141"/>
      <c r="D18" s="110" t="s">
        <v>4886</v>
      </c>
      <c r="I18" s="250"/>
    </row>
    <row r="19" spans="1:16">
      <c r="A19" s="158"/>
      <c r="B19" s="158"/>
      <c r="C19" s="158"/>
      <c r="I19" s="250"/>
      <c r="M19" s="131" t="s">
        <v>3516</v>
      </c>
      <c r="P19" s="131">
        <v>4250</v>
      </c>
    </row>
    <row r="20" spans="1:16">
      <c r="A20" s="158" t="s">
        <v>4848</v>
      </c>
      <c r="B20" s="158" t="s">
        <v>4887</v>
      </c>
      <c r="C20" s="141"/>
      <c r="D20" s="131" t="s">
        <v>4888</v>
      </c>
      <c r="H20" s="131">
        <v>1233.8399999999999</v>
      </c>
      <c r="I20" s="250"/>
    </row>
    <row r="21" spans="1:16">
      <c r="B21" s="140"/>
      <c r="C21" s="140"/>
      <c r="I21" s="250"/>
    </row>
    <row r="22" spans="1:16">
      <c r="A22" s="132"/>
    </row>
    <row r="23" spans="1:16">
      <c r="A23" s="132"/>
      <c r="B23" s="158"/>
      <c r="C23" s="158"/>
    </row>
    <row r="24" spans="1:16">
      <c r="A24" s="158"/>
      <c r="B24" s="141"/>
    </row>
    <row r="25" spans="1:16">
      <c r="A25" s="158"/>
      <c r="B25" s="141"/>
      <c r="C25" s="141"/>
    </row>
    <row r="26" spans="1:16">
      <c r="C26" s="141"/>
    </row>
    <row r="27" spans="1:16">
      <c r="A27" s="158"/>
      <c r="B27" s="158"/>
      <c r="C27" s="158"/>
    </row>
    <row r="28" spans="1:16">
      <c r="A28" s="158"/>
      <c r="B28" s="141"/>
      <c r="C28" s="141"/>
    </row>
    <row r="29" spans="1:16">
      <c r="B29" s="140"/>
      <c r="C29" s="140"/>
    </row>
    <row r="30" spans="1:16">
      <c r="A30" s="132"/>
    </row>
    <row r="31" spans="1:16">
      <c r="A31" s="132"/>
      <c r="B31" s="158"/>
      <c r="C31" s="158"/>
    </row>
    <row r="36" spans="1:8" ht="13.5" thickBot="1">
      <c r="H36" s="164">
        <f>SUM(H19:H35)</f>
        <v>1233.8399999999999</v>
      </c>
    </row>
    <row r="37" spans="1:8" ht="13.5" thickTop="1"/>
    <row r="38" spans="1:8" ht="20.100000000000001" customHeight="1">
      <c r="A38" s="138" t="s">
        <v>1133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One Thousand Two Hundred Thirty-Three and 84/100 -----------</v>
      </c>
      <c r="C38" s="202"/>
      <c r="D38" s="139"/>
      <c r="E38" s="139"/>
      <c r="F38" s="139"/>
      <c r="G38" s="139"/>
      <c r="H38" s="139"/>
    </row>
    <row r="39" spans="1:8">
      <c r="A39" s="140" t="s">
        <v>11</v>
      </c>
    </row>
    <row r="40" spans="1:8" ht="25.5">
      <c r="A40" s="131" t="s">
        <v>10</v>
      </c>
      <c r="F40" s="265" t="s">
        <v>2894</v>
      </c>
      <c r="G40" s="266"/>
      <c r="H40" s="267"/>
    </row>
    <row r="42" spans="1:8">
      <c r="A42" s="147"/>
    </row>
    <row r="43" spans="1:8">
      <c r="D43" s="141"/>
      <c r="E43" s="141"/>
    </row>
    <row r="44" spans="1:8">
      <c r="A44" s="142"/>
      <c r="B44" s="142"/>
    </row>
    <row r="46" spans="1:8">
      <c r="A46" s="143" t="s">
        <v>8</v>
      </c>
      <c r="D46" s="143"/>
      <c r="F46" s="143" t="s">
        <v>7</v>
      </c>
      <c r="H46" s="144"/>
    </row>
    <row r="50" spans="1:8">
      <c r="A50" s="142"/>
      <c r="B50" s="142"/>
      <c r="F50" s="142"/>
      <c r="G50" s="142"/>
      <c r="H50" s="142"/>
    </row>
    <row r="51" spans="1:8" s="147" customFormat="1" ht="17.100000000000001" customHeight="1">
      <c r="A51" s="145" t="s">
        <v>2948</v>
      </c>
      <c r="B51" s="146"/>
      <c r="C51" s="146"/>
      <c r="D51" s="145"/>
      <c r="F51" s="147" t="s">
        <v>3</v>
      </c>
    </row>
    <row r="52" spans="1:8">
      <c r="F52" s="131" t="s">
        <v>2</v>
      </c>
    </row>
    <row r="53" spans="1:8">
      <c r="A53" s="145"/>
    </row>
    <row r="54" spans="1:8">
      <c r="F54" s="110" t="s">
        <v>1</v>
      </c>
    </row>
    <row r="55" spans="1:8">
      <c r="F55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89" orientation="portrait" r:id="rId1"/>
  <headerFooter alignWithMargins="0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sheetPr codeName="Sheet21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2.140625" style="111" customWidth="1"/>
    <col min="3" max="3" width="23" style="111" customWidth="1"/>
    <col min="4" max="4" width="13.5703125" style="111" customWidth="1"/>
    <col min="5" max="5" width="9.5703125" style="111" customWidth="1"/>
    <col min="6" max="6" width="13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1090</v>
      </c>
      <c r="E9" s="132" t="s">
        <v>5663</v>
      </c>
    </row>
    <row r="10" spans="1:6">
      <c r="A10" s="111" t="s">
        <v>1339</v>
      </c>
      <c r="D10" s="112" t="s">
        <v>1340</v>
      </c>
      <c r="E10" s="132" t="s">
        <v>5662</v>
      </c>
    </row>
    <row r="11" spans="1:6">
      <c r="A11" s="111" t="s">
        <v>2646</v>
      </c>
      <c r="D11" s="112" t="s">
        <v>1341</v>
      </c>
      <c r="E11" s="132" t="s">
        <v>1094</v>
      </c>
    </row>
    <row r="12" spans="1:6">
      <c r="A12" s="111" t="s">
        <v>1111</v>
      </c>
      <c r="D12" s="112" t="s">
        <v>1135</v>
      </c>
      <c r="E12" s="120" t="s">
        <v>5664</v>
      </c>
    </row>
    <row r="13" spans="1:6">
      <c r="A13" s="111" t="s">
        <v>1112</v>
      </c>
    </row>
    <row r="16" spans="1:6" s="15" customFormat="1" ht="20.100000000000001" customHeight="1">
      <c r="A16" s="18" t="s">
        <v>1113</v>
      </c>
      <c r="B16" s="129" t="s">
        <v>1114</v>
      </c>
      <c r="C16" s="533" t="s">
        <v>14</v>
      </c>
      <c r="D16" s="533"/>
      <c r="E16" s="17"/>
      <c r="F16" s="16" t="s">
        <v>13</v>
      </c>
    </row>
    <row r="18" spans="1:6">
      <c r="A18" s="116" t="s">
        <v>5378</v>
      </c>
      <c r="B18" s="116" t="s">
        <v>5380</v>
      </c>
      <c r="C18" s="111" t="s">
        <v>5381</v>
      </c>
      <c r="F18" s="111">
        <v>300</v>
      </c>
    </row>
    <row r="19" spans="1:6">
      <c r="C19" s="111" t="s">
        <v>5174</v>
      </c>
      <c r="F19" s="111">
        <v>300</v>
      </c>
    </row>
    <row r="20" spans="1:6">
      <c r="C20" s="111" t="s">
        <v>5175</v>
      </c>
      <c r="F20" s="111">
        <f>600*6%</f>
        <v>36</v>
      </c>
    </row>
    <row r="21" spans="1:6">
      <c r="A21" s="116"/>
      <c r="B21" s="116"/>
    </row>
    <row r="22" spans="1:6">
      <c r="A22" s="116"/>
      <c r="B22" s="116"/>
    </row>
    <row r="33" spans="1:6" ht="13.5" thickBot="1">
      <c r="F33" s="117">
        <f>SUM(F18:F32)</f>
        <v>636</v>
      </c>
    </row>
    <row r="34" spans="1:6" ht="13.5" thickTop="1"/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Six Hundred Thirty-Six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1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5">
    <mergeCell ref="C16:D16"/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0-000000000000}">
  <sheetPr codeName="Sheet22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216</v>
      </c>
    </row>
    <row r="10" spans="1:6">
      <c r="A10" s="1" t="s">
        <v>215</v>
      </c>
      <c r="D10" s="21" t="s">
        <v>21</v>
      </c>
      <c r="E10" s="21" t="s">
        <v>214</v>
      </c>
    </row>
    <row r="11" spans="1:6">
      <c r="A11" s="1" t="s">
        <v>213</v>
      </c>
      <c r="D11" s="21" t="s">
        <v>19</v>
      </c>
      <c r="E11" s="21" t="s">
        <v>18</v>
      </c>
    </row>
    <row r="12" spans="1:6">
      <c r="A12" s="1" t="s">
        <v>206</v>
      </c>
      <c r="D12" s="21" t="s">
        <v>17</v>
      </c>
      <c r="E12" s="21" t="s">
        <v>212</v>
      </c>
    </row>
    <row r="13" spans="1:6">
      <c r="A13" s="1" t="s">
        <v>205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3" spans="1:6">
      <c r="A23" s="1" t="s">
        <v>211</v>
      </c>
      <c r="C23" s="1" t="s">
        <v>210</v>
      </c>
      <c r="F23" s="1">
        <v>750</v>
      </c>
    </row>
    <row r="25" spans="1:6">
      <c r="C25" s="1" t="s">
        <v>209</v>
      </c>
      <c r="F25" s="1">
        <v>50</v>
      </c>
    </row>
    <row r="33" spans="1:6" ht="13.5" thickBot="1">
      <c r="F33" s="12">
        <f>SUM(F20:F32)</f>
        <v>800</v>
      </c>
    </row>
    <row r="34" spans="1:6" ht="13.5" thickTop="1"/>
    <row r="35" spans="1:6" ht="20.100000000000001" customHeight="1">
      <c r="A35" s="10" t="s">
        <v>208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0-000000000000}">
  <sheetPr codeName="Sheet40">
    <pageSetUpPr fitToPage="1"/>
  </sheetPr>
  <dimension ref="A1:F51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222</v>
      </c>
    </row>
    <row r="10" spans="1:6">
      <c r="A10" s="1" t="s">
        <v>221</v>
      </c>
      <c r="D10" s="21" t="s">
        <v>21</v>
      </c>
      <c r="E10" s="21" t="s">
        <v>20</v>
      </c>
    </row>
    <row r="11" spans="1:6">
      <c r="D11" s="21" t="s">
        <v>19</v>
      </c>
      <c r="E11" s="21" t="s">
        <v>18</v>
      </c>
    </row>
    <row r="12" spans="1:6">
      <c r="D12" s="21" t="s">
        <v>17</v>
      </c>
      <c r="E12" s="20" t="s">
        <v>220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2:6">
      <c r="C19" s="13"/>
    </row>
    <row r="20" spans="2:6">
      <c r="C20" s="14" t="s">
        <v>219</v>
      </c>
    </row>
    <row r="21" spans="2:6">
      <c r="C21" s="13"/>
    </row>
    <row r="24" spans="2:6">
      <c r="C24" s="1" t="s">
        <v>44</v>
      </c>
    </row>
    <row r="26" spans="2:6">
      <c r="B26" s="8" t="s">
        <v>43</v>
      </c>
      <c r="C26" s="13" t="s">
        <v>218</v>
      </c>
      <c r="F26" s="1">
        <v>400</v>
      </c>
    </row>
    <row r="27" spans="2:6">
      <c r="B27" s="8"/>
    </row>
    <row r="31" spans="2:6" ht="13.5" thickBot="1">
      <c r="F31" s="12">
        <f>SUM(F18:F30)</f>
        <v>400</v>
      </c>
    </row>
    <row r="32" spans="2:6" ht="13.5" thickTop="1"/>
    <row r="33" spans="1:6" ht="13.5" thickBot="1">
      <c r="F33" s="12">
        <f>SUM(F20:F32)</f>
        <v>800</v>
      </c>
    </row>
    <row r="34" spans="1:6" ht="20.100000000000001" customHeight="1" thickTop="1">
      <c r="A34" s="11" t="s">
        <v>217</v>
      </c>
      <c r="B34" s="10"/>
      <c r="C34" s="9"/>
      <c r="D34" s="9"/>
      <c r="E34" s="9"/>
      <c r="F34" s="9"/>
    </row>
    <row r="35" spans="1:6">
      <c r="A35" s="8" t="s">
        <v>11</v>
      </c>
    </row>
    <row r="36" spans="1:6">
      <c r="A36" s="1" t="s">
        <v>10</v>
      </c>
    </row>
    <row r="39" spans="1:6" ht="25.5">
      <c r="A39" s="3" t="s">
        <v>9</v>
      </c>
      <c r="C39" s="7"/>
      <c r="D39" s="265" t="s">
        <v>2894</v>
      </c>
      <c r="E39" s="266"/>
      <c r="F39" s="267"/>
    </row>
    <row r="42" spans="1:6">
      <c r="A42" s="6" t="s">
        <v>8</v>
      </c>
      <c r="D42" s="6" t="s">
        <v>7</v>
      </c>
      <c r="F42" s="5"/>
    </row>
    <row r="46" spans="1:6">
      <c r="A46" s="1" t="s">
        <v>6</v>
      </c>
      <c r="D46" s="1" t="s">
        <v>5</v>
      </c>
    </row>
    <row r="47" spans="1:6" s="3" customFormat="1" ht="17.100000000000001" customHeight="1">
      <c r="A47" s="4" t="s">
        <v>4</v>
      </c>
      <c r="B47" s="4"/>
      <c r="D47" s="3" t="s">
        <v>3</v>
      </c>
    </row>
    <row r="48" spans="1:6">
      <c r="D48" s="1" t="s">
        <v>2</v>
      </c>
    </row>
    <row r="50" spans="1:4">
      <c r="A50" s="273" t="s">
        <v>2948</v>
      </c>
      <c r="D50" s="2" t="s">
        <v>1</v>
      </c>
    </row>
    <row r="51" spans="1:4">
      <c r="D51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0-000000000000}">
  <sheetPr codeName="Sheet55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232</v>
      </c>
    </row>
    <row r="10" spans="1:6">
      <c r="A10" s="1" t="s">
        <v>231</v>
      </c>
      <c r="D10" s="21" t="s">
        <v>21</v>
      </c>
      <c r="E10" s="21" t="s">
        <v>230</v>
      </c>
    </row>
    <row r="11" spans="1:6">
      <c r="A11" s="1" t="s">
        <v>229</v>
      </c>
      <c r="D11" s="21" t="s">
        <v>19</v>
      </c>
      <c r="E11" s="21" t="s">
        <v>18</v>
      </c>
    </row>
    <row r="12" spans="1:6">
      <c r="A12" s="1" t="s">
        <v>228</v>
      </c>
      <c r="D12" s="21" t="s">
        <v>17</v>
      </c>
      <c r="E12" s="20" t="s">
        <v>227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7" spans="1:6" s="15" customFormat="1">
      <c r="A17" s="41"/>
      <c r="B17" s="41"/>
      <c r="C17" s="42"/>
      <c r="D17" s="41"/>
      <c r="E17" s="40"/>
      <c r="F17" s="39"/>
    </row>
    <row r="18" spans="1:6" s="15" customFormat="1">
      <c r="A18" s="41"/>
      <c r="B18" s="41"/>
      <c r="C18" s="42"/>
      <c r="D18" s="41"/>
      <c r="E18" s="40"/>
      <c r="F18" s="39"/>
    </row>
    <row r="19" spans="1:6" s="15" customFormat="1">
      <c r="A19" s="41"/>
      <c r="B19" s="41"/>
      <c r="C19" s="13"/>
      <c r="D19" s="41"/>
      <c r="E19" s="40"/>
      <c r="F19" s="39"/>
    </row>
    <row r="20" spans="1:6">
      <c r="C20" s="13"/>
    </row>
    <row r="21" spans="1:6">
      <c r="C21" s="13"/>
    </row>
    <row r="23" spans="1:6">
      <c r="C23" s="14" t="s">
        <v>226</v>
      </c>
    </row>
    <row r="24" spans="1:6">
      <c r="C24" s="44" t="s">
        <v>225</v>
      </c>
    </row>
    <row r="25" spans="1:6">
      <c r="C25" s="44"/>
    </row>
    <row r="26" spans="1:6">
      <c r="B26" s="8"/>
    </row>
    <row r="28" spans="1:6">
      <c r="A28" s="8"/>
      <c r="B28" s="8"/>
      <c r="C28" s="1" t="s">
        <v>224</v>
      </c>
      <c r="F28" s="1">
        <v>900</v>
      </c>
    </row>
    <row r="29" spans="1:6">
      <c r="B29" s="8"/>
    </row>
    <row r="33" spans="1:6" ht="13.5" thickBot="1">
      <c r="F33" s="12">
        <f>SUM(F20:F32)</f>
        <v>900</v>
      </c>
    </row>
    <row r="34" spans="1:6" ht="13.5" thickTop="1"/>
    <row r="35" spans="1:6" ht="20.100000000000001" customHeight="1">
      <c r="A35" s="10" t="s">
        <v>223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0-000000000000}">
  <sheetPr codeName="Sheet59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243</v>
      </c>
    </row>
    <row r="10" spans="1:6">
      <c r="A10" s="1" t="s">
        <v>242</v>
      </c>
      <c r="D10" s="21" t="s">
        <v>21</v>
      </c>
      <c r="E10" s="21" t="s">
        <v>91</v>
      </c>
    </row>
    <row r="11" spans="1:6">
      <c r="A11" s="1" t="s">
        <v>241</v>
      </c>
      <c r="D11" s="21" t="s">
        <v>19</v>
      </c>
      <c r="E11" s="21" t="s">
        <v>18</v>
      </c>
    </row>
    <row r="12" spans="1:6">
      <c r="A12" s="1" t="s">
        <v>240</v>
      </c>
      <c r="D12" s="21" t="s">
        <v>17</v>
      </c>
      <c r="E12" s="21" t="s">
        <v>239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238</v>
      </c>
    </row>
    <row r="20" spans="1:6">
      <c r="C20" s="14" t="s">
        <v>237</v>
      </c>
    </row>
    <row r="23" spans="1:6">
      <c r="C23" s="14" t="s">
        <v>236</v>
      </c>
    </row>
    <row r="24" spans="1:6">
      <c r="C24" s="44"/>
    </row>
    <row r="25" spans="1:6">
      <c r="A25" s="1" t="s">
        <v>235</v>
      </c>
      <c r="B25" s="8"/>
      <c r="C25" s="1" t="s">
        <v>234</v>
      </c>
      <c r="F25" s="1">
        <v>2500</v>
      </c>
    </row>
    <row r="26" spans="1:6">
      <c r="B26" s="8"/>
    </row>
    <row r="27" spans="1:6">
      <c r="B27" s="8"/>
    </row>
    <row r="28" spans="1:6">
      <c r="B28" s="8"/>
    </row>
    <row r="33" spans="1:6" ht="13.5" thickBot="1">
      <c r="F33" s="12">
        <f>SUM(F20:F32)</f>
        <v>2500</v>
      </c>
    </row>
    <row r="34" spans="1:6" ht="13.5" thickTop="1"/>
    <row r="35" spans="1:6" ht="20.100000000000001" customHeight="1">
      <c r="A35" s="10" t="s">
        <v>233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0-000000000000}">
  <sheetPr codeName="Sheet63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251</v>
      </c>
    </row>
    <row r="10" spans="1:6">
      <c r="A10" s="1" t="s">
        <v>250</v>
      </c>
      <c r="D10" s="21" t="s">
        <v>21</v>
      </c>
      <c r="E10" s="21" t="s">
        <v>91</v>
      </c>
    </row>
    <row r="11" spans="1:6">
      <c r="A11" s="1" t="s">
        <v>249</v>
      </c>
      <c r="D11" s="21" t="s">
        <v>19</v>
      </c>
      <c r="E11" s="21" t="s">
        <v>18</v>
      </c>
    </row>
    <row r="12" spans="1:6">
      <c r="A12" s="1" t="s">
        <v>248</v>
      </c>
      <c r="D12" s="21" t="s">
        <v>17</v>
      </c>
      <c r="E12" s="21" t="s">
        <v>247</v>
      </c>
    </row>
    <row r="17" spans="1:6" s="15" customFormat="1" ht="20.100000000000001" customHeight="1">
      <c r="A17" s="18" t="s">
        <v>15</v>
      </c>
      <c r="B17" s="18"/>
      <c r="C17" s="19" t="s">
        <v>14</v>
      </c>
      <c r="D17" s="18"/>
      <c r="E17" s="17"/>
      <c r="F17" s="16" t="s">
        <v>13</v>
      </c>
    </row>
    <row r="20" spans="1:6">
      <c r="C20" s="13"/>
    </row>
    <row r="21" spans="1:6">
      <c r="C21" s="14" t="s">
        <v>246</v>
      </c>
    </row>
    <row r="22" spans="1:6">
      <c r="C22" s="14" t="s">
        <v>245</v>
      </c>
    </row>
    <row r="25" spans="1:6">
      <c r="C25" s="1" t="s">
        <v>244</v>
      </c>
      <c r="F25" s="1">
        <v>5000</v>
      </c>
    </row>
    <row r="33" spans="1:6" ht="13.5" thickBot="1">
      <c r="F33" s="12">
        <f>SUM(F20:F32)</f>
        <v>5000</v>
      </c>
    </row>
    <row r="34" spans="1:6" ht="13.5" thickTop="1"/>
    <row r="35" spans="1:6" ht="20.100000000000001" customHeight="1">
      <c r="A35" s="10" t="s">
        <v>59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0-000000000000}">
  <sheetPr codeName="Sheet65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263</v>
      </c>
    </row>
    <row r="10" spans="1:6">
      <c r="A10" s="1" t="s">
        <v>262</v>
      </c>
      <c r="D10" s="21" t="s">
        <v>21</v>
      </c>
      <c r="E10" s="21" t="s">
        <v>50</v>
      </c>
    </row>
    <row r="11" spans="1:6">
      <c r="A11" s="1" t="s">
        <v>261</v>
      </c>
      <c r="D11" s="21" t="s">
        <v>19</v>
      </c>
      <c r="E11" s="21" t="s">
        <v>18</v>
      </c>
    </row>
    <row r="12" spans="1:6">
      <c r="A12" s="1" t="s">
        <v>260</v>
      </c>
      <c r="D12" s="21" t="s">
        <v>17</v>
      </c>
      <c r="E12" s="21" t="s">
        <v>259</v>
      </c>
    </row>
    <row r="13" spans="1:6">
      <c r="A13" s="1" t="s">
        <v>258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0" spans="1:6">
      <c r="A20" s="1" t="s">
        <v>257</v>
      </c>
      <c r="C20" s="1" t="s">
        <v>256</v>
      </c>
      <c r="F20" s="1">
        <v>2070</v>
      </c>
    </row>
    <row r="21" spans="1:6">
      <c r="C21" s="1" t="s">
        <v>255</v>
      </c>
      <c r="F21" s="1">
        <v>1450</v>
      </c>
    </row>
    <row r="23" spans="1:6">
      <c r="A23" s="1" t="s">
        <v>254</v>
      </c>
      <c r="C23" s="1" t="s">
        <v>253</v>
      </c>
      <c r="F23" s="1">
        <v>740</v>
      </c>
    </row>
    <row r="33" spans="1:6" ht="13.5" thickBot="1">
      <c r="F33" s="12">
        <f>SUM(F20:F32)</f>
        <v>4260</v>
      </c>
    </row>
    <row r="34" spans="1:6" ht="13.5" thickTop="1"/>
    <row r="35" spans="1:6" ht="20.100000000000001" customHeight="1">
      <c r="A35" s="10" t="s">
        <v>252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0-000000000000}">
  <sheetPr codeName="Sheet6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272</v>
      </c>
    </row>
    <row r="10" spans="1:6">
      <c r="A10" s="1" t="s">
        <v>271</v>
      </c>
      <c r="D10" s="21" t="s">
        <v>21</v>
      </c>
      <c r="E10" s="21" t="s">
        <v>91</v>
      </c>
    </row>
    <row r="11" spans="1:6">
      <c r="A11" s="1" t="s">
        <v>270</v>
      </c>
      <c r="D11" s="21" t="s">
        <v>19</v>
      </c>
      <c r="E11" s="21" t="s">
        <v>18</v>
      </c>
    </row>
    <row r="12" spans="1:6">
      <c r="A12" s="1" t="s">
        <v>269</v>
      </c>
      <c r="D12" s="21" t="s">
        <v>17</v>
      </c>
      <c r="E12" s="21" t="s">
        <v>268</v>
      </c>
    </row>
    <row r="13" spans="1:6">
      <c r="A13" s="1" t="s">
        <v>53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0" spans="1:6">
      <c r="C20" s="14" t="s">
        <v>267</v>
      </c>
    </row>
    <row r="21" spans="1:6">
      <c r="C21" s="14"/>
    </row>
    <row r="23" spans="1:6">
      <c r="A23" s="1" t="s">
        <v>266</v>
      </c>
      <c r="C23" s="1" t="s">
        <v>265</v>
      </c>
      <c r="F23" s="1">
        <v>6200</v>
      </c>
    </row>
    <row r="25" spans="1:6">
      <c r="C25" s="8"/>
    </row>
    <row r="30" spans="1:6">
      <c r="C30" s="8"/>
    </row>
    <row r="31" spans="1:6">
      <c r="C31" s="8"/>
    </row>
    <row r="33" spans="1:6" ht="13.5" thickBot="1">
      <c r="F33" s="12">
        <f>SUM(F20:F32)</f>
        <v>6200</v>
      </c>
    </row>
    <row r="34" spans="1:6" ht="13.5" thickTop="1"/>
    <row r="35" spans="1:6" ht="20.100000000000001" customHeight="1">
      <c r="A35" s="10" t="s">
        <v>264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0-000000000000}">
  <sheetPr codeName="Sheet68">
    <pageSetUpPr fitToPage="1"/>
  </sheetPr>
  <dimension ref="A1:F1201"/>
  <sheetViews>
    <sheetView zoomScaleNormal="75" zoomScaleSheetLayoutView="100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6.42578125" style="1" customWidth="1"/>
    <col min="6" max="6" width="13.5703125" style="1" bestFit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5" spans="1:6" ht="16.5">
      <c r="A5" s="23"/>
      <c r="B5" s="23"/>
      <c r="C5" s="23"/>
      <c r="D5" s="23"/>
      <c r="E5" s="23"/>
      <c r="F5" s="23"/>
    </row>
    <row r="6" spans="1:6">
      <c r="A6" s="13" t="s">
        <v>24</v>
      </c>
      <c r="B6" s="13"/>
      <c r="C6" s="13"/>
      <c r="D6" s="55" t="s">
        <v>23</v>
      </c>
      <c r="E6" s="13"/>
      <c r="F6" s="13"/>
    </row>
    <row r="7" spans="1:6">
      <c r="A7" s="13" t="s">
        <v>285</v>
      </c>
      <c r="B7" s="13"/>
      <c r="C7" s="13"/>
      <c r="D7" s="20" t="s">
        <v>22</v>
      </c>
      <c r="E7" s="13" t="s">
        <v>284</v>
      </c>
      <c r="F7" s="13"/>
    </row>
    <row r="8" spans="1:6">
      <c r="A8" s="13" t="s">
        <v>283</v>
      </c>
      <c r="B8" s="13"/>
      <c r="C8" s="13"/>
      <c r="D8" s="20" t="s">
        <v>21</v>
      </c>
      <c r="E8" s="20" t="s">
        <v>100</v>
      </c>
      <c r="F8" s="13"/>
    </row>
    <row r="9" spans="1:6">
      <c r="A9" s="13" t="s">
        <v>282</v>
      </c>
      <c r="B9" s="13"/>
      <c r="C9" s="13"/>
      <c r="D9" s="20" t="s">
        <v>19</v>
      </c>
      <c r="E9" s="20" t="s">
        <v>18</v>
      </c>
      <c r="F9" s="13"/>
    </row>
    <row r="10" spans="1:6">
      <c r="A10" s="13" t="s">
        <v>16</v>
      </c>
      <c r="B10" s="13"/>
      <c r="C10" s="13"/>
      <c r="D10" s="20" t="s">
        <v>17</v>
      </c>
      <c r="E10" s="20" t="s">
        <v>281</v>
      </c>
      <c r="F10" s="13"/>
    </row>
    <row r="11" spans="1:6">
      <c r="A11" s="13" t="s">
        <v>280</v>
      </c>
      <c r="B11" s="13"/>
      <c r="C11" s="13"/>
      <c r="D11" s="13"/>
      <c r="E11" s="13"/>
      <c r="F11" s="13"/>
    </row>
    <row r="12" spans="1:6" ht="16.5">
      <c r="A12" s="23"/>
      <c r="B12" s="23"/>
      <c r="C12" s="23"/>
      <c r="D12" s="23"/>
      <c r="E12" s="23"/>
      <c r="F12" s="23"/>
    </row>
    <row r="13" spans="1:6" s="15" customFormat="1" ht="20.100000000000001" customHeight="1">
      <c r="A13" s="53" t="s">
        <v>15</v>
      </c>
      <c r="B13" s="53"/>
      <c r="C13" s="54" t="s">
        <v>14</v>
      </c>
      <c r="D13" s="53"/>
      <c r="E13" s="52"/>
      <c r="F13" s="51" t="s">
        <v>13</v>
      </c>
    </row>
    <row r="14" spans="1:6" ht="16.5">
      <c r="A14" s="23"/>
      <c r="B14" s="23"/>
      <c r="C14" s="23"/>
      <c r="D14" s="23"/>
      <c r="E14" s="23"/>
      <c r="F14" s="23"/>
    </row>
    <row r="15" spans="1:6">
      <c r="A15" s="13"/>
      <c r="B15" s="13"/>
      <c r="C15" s="13"/>
      <c r="D15" s="13"/>
      <c r="E15" s="13"/>
      <c r="F15" s="13"/>
    </row>
    <row r="16" spans="1:6">
      <c r="A16" s="13"/>
      <c r="B16" s="13"/>
      <c r="C16" s="14" t="s">
        <v>279</v>
      </c>
      <c r="D16" s="13"/>
      <c r="E16" s="13"/>
      <c r="F16" s="13"/>
    </row>
    <row r="17" spans="1:6">
      <c r="A17" s="13"/>
      <c r="B17" s="13"/>
      <c r="C17" s="13"/>
      <c r="D17" s="13"/>
      <c r="E17" s="13"/>
      <c r="F17" s="13"/>
    </row>
    <row r="18" spans="1:6">
      <c r="A18" s="13" t="s">
        <v>278</v>
      </c>
      <c r="B18" s="13"/>
      <c r="C18" s="13" t="s">
        <v>277</v>
      </c>
      <c r="D18" s="13"/>
      <c r="E18" s="13"/>
      <c r="F18" s="13">
        <v>4000</v>
      </c>
    </row>
    <row r="19" spans="1:6">
      <c r="A19" s="13"/>
      <c r="B19" s="13"/>
      <c r="C19" s="13" t="s">
        <v>276</v>
      </c>
      <c r="D19" s="13"/>
      <c r="E19" s="13"/>
      <c r="F19" s="13">
        <v>15000</v>
      </c>
    </row>
    <row r="20" spans="1:6">
      <c r="A20" s="13"/>
      <c r="B20" s="13"/>
      <c r="C20" s="13" t="s">
        <v>275</v>
      </c>
      <c r="D20" s="13"/>
      <c r="E20" s="13"/>
      <c r="F20" s="13"/>
    </row>
    <row r="21" spans="1:6">
      <c r="A21" s="13"/>
      <c r="B21" s="13"/>
      <c r="C21" s="13" t="s">
        <v>274</v>
      </c>
      <c r="D21" s="13"/>
      <c r="E21" s="13"/>
      <c r="F21" s="13"/>
    </row>
    <row r="22" spans="1:6">
      <c r="A22" s="13"/>
      <c r="B22" s="13"/>
      <c r="C22" s="13"/>
      <c r="D22" s="13"/>
      <c r="E22" s="13"/>
      <c r="F22" s="13"/>
    </row>
    <row r="23" spans="1:6">
      <c r="A23" s="13"/>
      <c r="B23" s="13"/>
      <c r="C23" s="13"/>
      <c r="D23" s="13"/>
      <c r="E23" s="13"/>
      <c r="F23" s="13"/>
    </row>
    <row r="24" spans="1:6">
      <c r="A24" s="13"/>
      <c r="B24" s="13"/>
      <c r="C24" s="13"/>
      <c r="D24" s="13"/>
      <c r="E24" s="13"/>
      <c r="F24" s="13"/>
    </row>
    <row r="25" spans="1:6">
      <c r="A25" s="13"/>
      <c r="B25" s="13"/>
      <c r="C25" s="13"/>
      <c r="D25" s="13"/>
      <c r="E25" s="13"/>
      <c r="F25" s="13"/>
    </row>
    <row r="26" spans="1:6">
      <c r="A26" s="13"/>
      <c r="B26" s="13"/>
      <c r="C26" s="13"/>
      <c r="D26" s="13"/>
      <c r="E26" s="13"/>
      <c r="F26" s="13"/>
    </row>
    <row r="27" spans="1:6" ht="13.5" thickBot="1">
      <c r="A27" s="13"/>
      <c r="B27" s="13"/>
      <c r="C27" s="13"/>
      <c r="D27" s="13"/>
      <c r="E27" s="13"/>
      <c r="F27" s="28">
        <f>SUM(F15:F26)</f>
        <v>19000</v>
      </c>
    </row>
    <row r="28" spans="1:6" ht="13.5" thickTop="1">
      <c r="A28" s="13"/>
      <c r="B28" s="13"/>
      <c r="C28" s="13"/>
      <c r="D28" s="13"/>
      <c r="E28" s="13"/>
      <c r="F28" s="13"/>
    </row>
    <row r="29" spans="1:6">
      <c r="A29" s="13"/>
      <c r="B29" s="13"/>
      <c r="C29" s="13"/>
      <c r="D29" s="13"/>
      <c r="E29" s="13"/>
      <c r="F29" s="13"/>
    </row>
    <row r="30" spans="1:6" ht="20.100000000000001" customHeight="1">
      <c r="A30" s="49" t="s">
        <v>273</v>
      </c>
      <c r="B30" s="11"/>
      <c r="C30" s="48"/>
      <c r="D30" s="48"/>
      <c r="E30" s="48"/>
      <c r="F30" s="48"/>
    </row>
    <row r="31" spans="1:6">
      <c r="A31" s="34" t="s">
        <v>11</v>
      </c>
      <c r="B31" s="13"/>
      <c r="C31" s="13"/>
      <c r="D31" s="13"/>
      <c r="E31" s="13"/>
      <c r="F31" s="13"/>
    </row>
    <row r="32" spans="1:6">
      <c r="A32" s="13" t="s">
        <v>10</v>
      </c>
      <c r="B32" s="13"/>
      <c r="C32" s="13"/>
      <c r="D32" s="13"/>
      <c r="E32" s="13"/>
    </row>
    <row r="33" spans="1:6" ht="13.5" thickBot="1">
      <c r="A33" s="13"/>
      <c r="B33" s="13"/>
      <c r="C33" s="13"/>
      <c r="D33" s="13"/>
      <c r="E33" s="13"/>
      <c r="F33" s="28">
        <f>SUM(F20:F32)</f>
        <v>19000</v>
      </c>
    </row>
    <row r="34" spans="1:6" ht="13.5" thickTop="1">
      <c r="A34" s="13"/>
      <c r="B34" s="13"/>
      <c r="C34" s="13"/>
      <c r="D34" s="13"/>
      <c r="E34" s="13"/>
      <c r="F34" s="13"/>
    </row>
    <row r="35" spans="1:6">
      <c r="A35" s="13" t="s">
        <v>9</v>
      </c>
      <c r="B35" s="13"/>
      <c r="C35" s="47"/>
      <c r="D35" s="13"/>
      <c r="E35" s="13"/>
      <c r="F35" s="13"/>
    </row>
    <row r="36" spans="1:6">
      <c r="A36" s="13"/>
      <c r="B36" s="13"/>
      <c r="C36" s="13"/>
      <c r="D36" s="13"/>
      <c r="E36" s="13"/>
      <c r="F36" s="13"/>
    </row>
    <row r="37" spans="1:6">
      <c r="A37" s="13"/>
      <c r="B37" s="13"/>
      <c r="C37" s="13"/>
      <c r="D37" s="13"/>
      <c r="E37" s="13"/>
      <c r="F37" s="13"/>
    </row>
    <row r="38" spans="1:6">
      <c r="A38" s="31" t="s">
        <v>8</v>
      </c>
      <c r="B38" s="13"/>
      <c r="C38" s="13"/>
      <c r="D38" s="31" t="s">
        <v>7</v>
      </c>
      <c r="E38" s="13"/>
      <c r="F38" s="46"/>
    </row>
    <row r="39" spans="1:6" ht="25.5">
      <c r="A39" s="30"/>
      <c r="B39" s="13"/>
      <c r="C39" s="13"/>
      <c r="D39" s="265" t="s">
        <v>2894</v>
      </c>
      <c r="E39" s="266"/>
      <c r="F39" s="267"/>
    </row>
    <row r="40" spans="1:6">
      <c r="A40" s="13"/>
      <c r="B40" s="13"/>
      <c r="C40" s="13"/>
      <c r="D40" s="13"/>
      <c r="E40" s="13"/>
      <c r="F40" s="13"/>
    </row>
    <row r="41" spans="1:6">
      <c r="A41" s="13"/>
      <c r="B41" s="13"/>
      <c r="C41" s="13"/>
      <c r="D41" s="13"/>
      <c r="E41" s="13"/>
      <c r="F41" s="13"/>
    </row>
    <row r="42" spans="1:6">
      <c r="A42" s="13" t="s">
        <v>6</v>
      </c>
      <c r="B42" s="13"/>
      <c r="C42" s="13"/>
      <c r="D42" s="13" t="s">
        <v>5</v>
      </c>
      <c r="E42" s="13"/>
      <c r="F42" s="13"/>
    </row>
    <row r="43" spans="1:6" s="3" customFormat="1" ht="17.100000000000001" customHeight="1">
      <c r="A43" s="45" t="s">
        <v>4</v>
      </c>
      <c r="B43" s="45"/>
      <c r="C43" s="30"/>
      <c r="D43" s="30" t="s">
        <v>3</v>
      </c>
      <c r="E43" s="30"/>
      <c r="F43" s="30"/>
    </row>
    <row r="44" spans="1:6">
      <c r="A44" s="13"/>
      <c r="B44" s="13"/>
      <c r="C44" s="13"/>
      <c r="D44" s="13" t="s">
        <v>2</v>
      </c>
      <c r="E44" s="13"/>
      <c r="F44" s="13"/>
    </row>
    <row r="45" spans="1:6">
      <c r="A45" s="13"/>
      <c r="B45" s="13"/>
      <c r="C45" s="13"/>
      <c r="D45" s="13"/>
      <c r="E45" s="13"/>
      <c r="F45" s="13"/>
    </row>
    <row r="46" spans="1:6">
      <c r="A46" s="13"/>
      <c r="B46" s="13"/>
      <c r="C46" s="13"/>
      <c r="D46" s="14" t="s">
        <v>1</v>
      </c>
      <c r="E46" s="13"/>
      <c r="F46" s="13"/>
    </row>
    <row r="47" spans="1:6">
      <c r="A47" s="13"/>
      <c r="B47" s="13"/>
      <c r="C47" s="13"/>
      <c r="D47" s="14" t="s">
        <v>0</v>
      </c>
      <c r="E47" s="13"/>
      <c r="F47" s="13"/>
    </row>
    <row r="48" spans="1:6">
      <c r="A48" s="13"/>
      <c r="B48" s="13"/>
      <c r="C48" s="13"/>
      <c r="D48" s="13"/>
      <c r="E48" s="13"/>
      <c r="F48" s="13"/>
    </row>
    <row r="49" spans="1:6">
      <c r="A49" s="13"/>
      <c r="B49" s="13"/>
      <c r="C49" s="13"/>
      <c r="D49" s="13"/>
      <c r="E49" s="13"/>
      <c r="F49" s="13"/>
    </row>
    <row r="50" spans="1:6">
      <c r="A50" s="275" t="s">
        <v>2948</v>
      </c>
      <c r="B50" s="13"/>
      <c r="C50" s="13"/>
      <c r="D50" s="13"/>
      <c r="E50" s="13"/>
      <c r="F50" s="13"/>
    </row>
    <row r="51" spans="1:6">
      <c r="A51" s="13"/>
      <c r="B51" s="13"/>
      <c r="C51" s="13"/>
      <c r="D51" s="13"/>
      <c r="E51" s="13"/>
      <c r="F51" s="13"/>
    </row>
    <row r="52" spans="1:6">
      <c r="A52" s="13"/>
      <c r="B52" s="13"/>
      <c r="C52" s="13"/>
      <c r="D52" s="13"/>
      <c r="E52" s="13"/>
      <c r="F52" s="13"/>
    </row>
    <row r="53" spans="1:6">
      <c r="A53" s="13"/>
      <c r="B53" s="13"/>
      <c r="C53" s="13"/>
      <c r="D53" s="13"/>
      <c r="E53" s="13"/>
      <c r="F53" s="13"/>
    </row>
    <row r="54" spans="1:6">
      <c r="A54" s="13"/>
      <c r="B54" s="13"/>
      <c r="C54" s="13"/>
      <c r="D54" s="13"/>
      <c r="E54" s="13"/>
      <c r="F54" s="13"/>
    </row>
    <row r="55" spans="1:6">
      <c r="A55" s="13"/>
      <c r="B55" s="13"/>
      <c r="C55" s="13"/>
      <c r="D55" s="13"/>
      <c r="E55" s="13"/>
      <c r="F55" s="13"/>
    </row>
    <row r="56" spans="1:6">
      <c r="A56" s="13"/>
      <c r="B56" s="13"/>
      <c r="C56" s="13"/>
      <c r="D56" s="13"/>
      <c r="E56" s="13"/>
      <c r="F56" s="13"/>
    </row>
    <row r="57" spans="1:6">
      <c r="A57" s="13"/>
      <c r="B57" s="13"/>
      <c r="C57" s="13"/>
      <c r="D57" s="13"/>
      <c r="E57" s="13"/>
      <c r="F57" s="13"/>
    </row>
    <row r="58" spans="1:6">
      <c r="A58" s="13"/>
      <c r="B58" s="13"/>
      <c r="C58" s="13"/>
      <c r="D58" s="13"/>
      <c r="E58" s="13"/>
      <c r="F58" s="13"/>
    </row>
    <row r="59" spans="1:6">
      <c r="A59" s="13"/>
      <c r="B59" s="13"/>
      <c r="C59" s="13"/>
      <c r="D59" s="13"/>
      <c r="E59" s="13"/>
      <c r="F59" s="13"/>
    </row>
    <row r="60" spans="1:6">
      <c r="A60" s="13"/>
      <c r="B60" s="13"/>
      <c r="C60" s="13"/>
      <c r="D60" s="13"/>
      <c r="E60" s="13"/>
      <c r="F60" s="13"/>
    </row>
    <row r="61" spans="1:6">
      <c r="A61" s="13"/>
      <c r="B61" s="13"/>
      <c r="C61" s="13"/>
      <c r="D61" s="13"/>
      <c r="E61" s="13"/>
      <c r="F61" s="13"/>
    </row>
    <row r="62" spans="1:6">
      <c r="A62" s="13"/>
      <c r="B62" s="13"/>
      <c r="C62" s="13"/>
      <c r="D62" s="13"/>
      <c r="E62" s="13"/>
      <c r="F62" s="13"/>
    </row>
    <row r="63" spans="1:6">
      <c r="A63" s="13"/>
      <c r="B63" s="13"/>
      <c r="C63" s="13"/>
      <c r="D63" s="13"/>
      <c r="E63" s="13"/>
      <c r="F63" s="13"/>
    </row>
    <row r="64" spans="1:6">
      <c r="A64" s="13"/>
      <c r="B64" s="13"/>
      <c r="C64" s="13"/>
      <c r="D64" s="13"/>
      <c r="E64" s="13"/>
      <c r="F64" s="13"/>
    </row>
    <row r="65" spans="1:6">
      <c r="A65" s="13"/>
      <c r="B65" s="13"/>
      <c r="C65" s="13"/>
      <c r="D65" s="13"/>
      <c r="E65" s="13"/>
      <c r="F65" s="13"/>
    </row>
    <row r="66" spans="1:6">
      <c r="A66" s="13"/>
      <c r="B66" s="13"/>
      <c r="C66" s="13"/>
      <c r="D66" s="13"/>
      <c r="E66" s="13"/>
      <c r="F66" s="13"/>
    </row>
    <row r="67" spans="1:6">
      <c r="A67" s="13"/>
      <c r="B67" s="13"/>
      <c r="C67" s="13"/>
      <c r="D67" s="13"/>
      <c r="E67" s="13"/>
      <c r="F67" s="13"/>
    </row>
    <row r="68" spans="1:6">
      <c r="A68" s="13"/>
      <c r="B68" s="13"/>
      <c r="C68" s="13"/>
      <c r="D68" s="13"/>
      <c r="E68" s="13"/>
      <c r="F68" s="13"/>
    </row>
    <row r="69" spans="1:6" ht="16.5">
      <c r="A69" s="23"/>
      <c r="B69" s="23"/>
      <c r="C69" s="23"/>
      <c r="D69" s="23"/>
      <c r="E69" s="23"/>
      <c r="F69" s="23"/>
    </row>
    <row r="70" spans="1:6" ht="16.5">
      <c r="A70" s="23"/>
      <c r="B70" s="23"/>
      <c r="C70" s="23"/>
      <c r="D70" s="23"/>
      <c r="E70" s="23"/>
      <c r="F70" s="23"/>
    </row>
    <row r="71" spans="1:6" ht="16.5">
      <c r="A71" s="23"/>
      <c r="B71" s="23"/>
      <c r="C71" s="23"/>
      <c r="D71" s="23"/>
      <c r="E71" s="23"/>
      <c r="F71" s="23"/>
    </row>
    <row r="72" spans="1:6" ht="16.5">
      <c r="A72" s="23"/>
      <c r="B72" s="23"/>
      <c r="C72" s="23"/>
      <c r="D72" s="23"/>
      <c r="E72" s="23"/>
      <c r="F72" s="23"/>
    </row>
    <row r="73" spans="1:6" ht="16.5">
      <c r="A73" s="23"/>
      <c r="B73" s="23"/>
      <c r="C73" s="23"/>
      <c r="D73" s="23"/>
      <c r="E73" s="23"/>
      <c r="F73" s="23"/>
    </row>
    <row r="74" spans="1:6" ht="16.5">
      <c r="A74" s="23"/>
      <c r="B74" s="23"/>
      <c r="C74" s="23"/>
      <c r="D74" s="23"/>
      <c r="E74" s="23"/>
      <c r="F74" s="23"/>
    </row>
    <row r="75" spans="1:6" ht="16.5">
      <c r="A75" s="23"/>
      <c r="B75" s="23"/>
      <c r="C75" s="23"/>
      <c r="D75" s="23"/>
      <c r="E75" s="23"/>
      <c r="F75" s="23"/>
    </row>
    <row r="76" spans="1:6" ht="16.5">
      <c r="A76" s="23"/>
      <c r="B76" s="23"/>
      <c r="C76" s="23"/>
      <c r="D76" s="23"/>
      <c r="E76" s="23"/>
      <c r="F76" s="23"/>
    </row>
    <row r="77" spans="1:6" ht="16.5">
      <c r="A77" s="23"/>
      <c r="B77" s="23"/>
      <c r="C77" s="23"/>
      <c r="D77" s="23"/>
      <c r="E77" s="23"/>
      <c r="F77" s="23"/>
    </row>
    <row r="78" spans="1:6" ht="16.5">
      <c r="A78" s="23"/>
      <c r="B78" s="23"/>
      <c r="C78" s="23"/>
      <c r="D78" s="23"/>
      <c r="E78" s="23"/>
      <c r="F78" s="23"/>
    </row>
    <row r="79" spans="1:6" ht="16.5">
      <c r="A79" s="23"/>
      <c r="B79" s="23"/>
      <c r="C79" s="23"/>
      <c r="D79" s="23"/>
      <c r="E79" s="23"/>
      <c r="F79" s="23"/>
    </row>
    <row r="80" spans="1:6" ht="16.5">
      <c r="A80" s="23"/>
      <c r="B80" s="23"/>
      <c r="C80" s="23"/>
      <c r="D80" s="23"/>
      <c r="E80" s="23"/>
      <c r="F80" s="23"/>
    </row>
    <row r="81" spans="1:6" ht="16.5">
      <c r="A81" s="23"/>
      <c r="B81" s="23"/>
      <c r="C81" s="23"/>
      <c r="D81" s="23"/>
      <c r="E81" s="23"/>
      <c r="F81" s="23"/>
    </row>
    <row r="82" spans="1:6" ht="16.5">
      <c r="A82" s="23"/>
      <c r="B82" s="23"/>
      <c r="C82" s="23"/>
      <c r="D82" s="23"/>
      <c r="E82" s="23"/>
      <c r="F82" s="23"/>
    </row>
    <row r="83" spans="1:6" ht="16.5">
      <c r="A83" s="23"/>
      <c r="B83" s="23"/>
      <c r="C83" s="23"/>
      <c r="D83" s="23"/>
      <c r="E83" s="23"/>
      <c r="F83" s="23"/>
    </row>
    <row r="84" spans="1:6" ht="16.5">
      <c r="A84" s="23"/>
      <c r="B84" s="23"/>
      <c r="C84" s="23"/>
      <c r="D84" s="23"/>
      <c r="E84" s="23"/>
      <c r="F84" s="23"/>
    </row>
    <row r="85" spans="1:6" ht="16.5">
      <c r="A85" s="23"/>
      <c r="B85" s="23"/>
      <c r="C85" s="23"/>
      <c r="D85" s="23"/>
      <c r="E85" s="23"/>
      <c r="F85" s="23"/>
    </row>
    <row r="86" spans="1:6" ht="16.5">
      <c r="A86" s="23"/>
      <c r="B86" s="23"/>
      <c r="C86" s="23"/>
      <c r="D86" s="23"/>
      <c r="E86" s="23"/>
      <c r="F86" s="23"/>
    </row>
    <row r="87" spans="1:6" ht="16.5">
      <c r="A87" s="23"/>
      <c r="B87" s="23"/>
      <c r="C87" s="23"/>
      <c r="D87" s="23"/>
      <c r="E87" s="23"/>
      <c r="F87" s="23"/>
    </row>
    <row r="88" spans="1:6" ht="16.5">
      <c r="A88" s="23"/>
      <c r="B88" s="23"/>
      <c r="C88" s="23"/>
      <c r="D88" s="23"/>
      <c r="E88" s="23"/>
      <c r="F88" s="23"/>
    </row>
    <row r="89" spans="1:6" ht="16.5">
      <c r="A89" s="23"/>
      <c r="B89" s="23"/>
      <c r="C89" s="23"/>
      <c r="D89" s="23"/>
      <c r="E89" s="23"/>
      <c r="F89" s="23"/>
    </row>
    <row r="90" spans="1:6" ht="16.5">
      <c r="A90" s="23"/>
      <c r="B90" s="23"/>
      <c r="C90" s="23"/>
      <c r="D90" s="23"/>
      <c r="E90" s="23"/>
      <c r="F90" s="23"/>
    </row>
    <row r="91" spans="1:6" ht="16.5">
      <c r="A91" s="23"/>
      <c r="B91" s="23"/>
      <c r="C91" s="23"/>
      <c r="D91" s="23"/>
      <c r="E91" s="23"/>
      <c r="F91" s="23"/>
    </row>
    <row r="92" spans="1:6" ht="16.5">
      <c r="A92" s="23"/>
      <c r="B92" s="23"/>
      <c r="C92" s="23"/>
      <c r="D92" s="23"/>
      <c r="E92" s="23"/>
      <c r="F92" s="23"/>
    </row>
    <row r="93" spans="1:6" ht="16.5">
      <c r="A93" s="23"/>
      <c r="B93" s="23"/>
      <c r="C93" s="23"/>
      <c r="D93" s="23"/>
      <c r="E93" s="23"/>
      <c r="F93" s="23"/>
    </row>
    <row r="94" spans="1:6" ht="16.5">
      <c r="A94" s="23"/>
      <c r="B94" s="23"/>
      <c r="C94" s="23"/>
      <c r="D94" s="23"/>
      <c r="E94" s="23"/>
      <c r="F94" s="23"/>
    </row>
    <row r="95" spans="1:6" ht="16.5">
      <c r="A95" s="23"/>
      <c r="B95" s="23"/>
      <c r="C95" s="23"/>
      <c r="D95" s="23"/>
      <c r="E95" s="23"/>
      <c r="F95" s="23"/>
    </row>
    <row r="96" spans="1:6" ht="16.5">
      <c r="A96" s="23"/>
      <c r="B96" s="23"/>
      <c r="C96" s="23"/>
      <c r="D96" s="23"/>
      <c r="E96" s="23"/>
      <c r="F96" s="23"/>
    </row>
    <row r="97" spans="1:6" ht="16.5">
      <c r="A97" s="23"/>
      <c r="B97" s="23"/>
      <c r="C97" s="23"/>
      <c r="D97" s="23"/>
      <c r="E97" s="23"/>
      <c r="F97" s="23"/>
    </row>
    <row r="98" spans="1:6" ht="16.5">
      <c r="A98" s="23"/>
      <c r="B98" s="23"/>
      <c r="C98" s="23"/>
      <c r="D98" s="23"/>
      <c r="E98" s="23"/>
      <c r="F98" s="23"/>
    </row>
    <row r="99" spans="1:6" ht="16.5">
      <c r="A99" s="23"/>
      <c r="B99" s="23"/>
      <c r="C99" s="23"/>
      <c r="D99" s="23"/>
      <c r="E99" s="23"/>
      <c r="F99" s="23"/>
    </row>
    <row r="100" spans="1:6" ht="16.5">
      <c r="A100" s="23"/>
      <c r="B100" s="23"/>
      <c r="C100" s="23"/>
      <c r="D100" s="23"/>
      <c r="E100" s="23"/>
      <c r="F100" s="23"/>
    </row>
    <row r="101" spans="1:6" ht="16.5">
      <c r="A101" s="23"/>
      <c r="B101" s="23"/>
      <c r="C101" s="23"/>
      <c r="D101" s="23"/>
      <c r="E101" s="23"/>
      <c r="F101" s="23"/>
    </row>
    <row r="102" spans="1:6" ht="16.5">
      <c r="A102" s="23"/>
      <c r="B102" s="23"/>
      <c r="C102" s="23"/>
      <c r="D102" s="23"/>
      <c r="E102" s="23"/>
      <c r="F102" s="23"/>
    </row>
    <row r="103" spans="1:6" ht="16.5">
      <c r="A103" s="23"/>
      <c r="B103" s="23"/>
      <c r="C103" s="23"/>
      <c r="D103" s="23"/>
      <c r="E103" s="23"/>
      <c r="F103" s="23"/>
    </row>
    <row r="104" spans="1:6" ht="16.5">
      <c r="A104" s="23"/>
      <c r="B104" s="23"/>
      <c r="C104" s="23"/>
      <c r="D104" s="23"/>
      <c r="E104" s="23"/>
      <c r="F104" s="23"/>
    </row>
    <row r="105" spans="1:6" ht="16.5">
      <c r="A105" s="23"/>
      <c r="B105" s="23"/>
      <c r="C105" s="23"/>
      <c r="D105" s="23"/>
      <c r="E105" s="23"/>
      <c r="F105" s="23"/>
    </row>
    <row r="106" spans="1:6" ht="16.5">
      <c r="A106" s="23"/>
      <c r="B106" s="23"/>
      <c r="C106" s="23"/>
      <c r="D106" s="23"/>
      <c r="E106" s="23"/>
      <c r="F106" s="23"/>
    </row>
    <row r="107" spans="1:6" ht="16.5">
      <c r="A107" s="23"/>
      <c r="B107" s="23"/>
      <c r="C107" s="23"/>
      <c r="D107" s="23"/>
      <c r="E107" s="23"/>
      <c r="F107" s="23"/>
    </row>
    <row r="108" spans="1:6" ht="16.5">
      <c r="A108" s="23"/>
      <c r="B108" s="23"/>
      <c r="C108" s="23"/>
      <c r="D108" s="23"/>
      <c r="E108" s="23"/>
      <c r="F108" s="23"/>
    </row>
    <row r="109" spans="1:6" ht="16.5">
      <c r="A109" s="23"/>
      <c r="B109" s="23"/>
      <c r="C109" s="23"/>
      <c r="D109" s="23"/>
      <c r="E109" s="23"/>
      <c r="F109" s="23"/>
    </row>
    <row r="110" spans="1:6" ht="16.5">
      <c r="A110" s="23"/>
      <c r="B110" s="23"/>
      <c r="C110" s="23"/>
      <c r="D110" s="23"/>
      <c r="E110" s="23"/>
      <c r="F110" s="23"/>
    </row>
    <row r="111" spans="1:6" ht="16.5">
      <c r="A111" s="23"/>
      <c r="B111" s="23"/>
      <c r="C111" s="23"/>
      <c r="D111" s="23"/>
      <c r="E111" s="23"/>
      <c r="F111" s="23"/>
    </row>
    <row r="112" spans="1:6" ht="16.5">
      <c r="A112" s="23"/>
      <c r="B112" s="23"/>
      <c r="C112" s="23"/>
      <c r="D112" s="23"/>
      <c r="E112" s="23"/>
      <c r="F112" s="23"/>
    </row>
    <row r="113" spans="1:6" ht="16.5">
      <c r="A113" s="23"/>
      <c r="B113" s="23"/>
      <c r="C113" s="23"/>
      <c r="D113" s="23"/>
      <c r="E113" s="23"/>
      <c r="F113" s="23"/>
    </row>
    <row r="114" spans="1:6" ht="16.5">
      <c r="A114" s="23"/>
      <c r="B114" s="23"/>
      <c r="C114" s="23"/>
      <c r="D114" s="23"/>
      <c r="E114" s="23"/>
      <c r="F114" s="23"/>
    </row>
    <row r="115" spans="1:6" ht="16.5">
      <c r="A115" s="23"/>
      <c r="B115" s="23"/>
      <c r="C115" s="23"/>
      <c r="D115" s="23"/>
      <c r="E115" s="23"/>
      <c r="F115" s="23"/>
    </row>
    <row r="116" spans="1:6" ht="16.5">
      <c r="A116" s="23"/>
      <c r="B116" s="23"/>
      <c r="C116" s="23"/>
      <c r="D116" s="23"/>
      <c r="E116" s="23"/>
      <c r="F116" s="23"/>
    </row>
    <row r="117" spans="1:6" ht="16.5">
      <c r="A117" s="23"/>
      <c r="B117" s="23"/>
      <c r="C117" s="23"/>
      <c r="D117" s="23"/>
      <c r="E117" s="23"/>
      <c r="F117" s="23"/>
    </row>
    <row r="118" spans="1:6" ht="16.5">
      <c r="A118" s="23"/>
      <c r="B118" s="23"/>
      <c r="C118" s="23"/>
      <c r="D118" s="23"/>
      <c r="E118" s="23"/>
      <c r="F118" s="23"/>
    </row>
    <row r="119" spans="1:6" ht="16.5">
      <c r="A119" s="23"/>
      <c r="B119" s="23"/>
      <c r="C119" s="23"/>
      <c r="D119" s="23"/>
      <c r="E119" s="23"/>
      <c r="F119" s="23"/>
    </row>
    <row r="120" spans="1:6" ht="16.5">
      <c r="A120" s="23"/>
      <c r="B120" s="23"/>
      <c r="C120" s="23"/>
      <c r="D120" s="23"/>
      <c r="E120" s="23"/>
      <c r="F120" s="23"/>
    </row>
    <row r="121" spans="1:6" ht="16.5">
      <c r="A121" s="23"/>
      <c r="B121" s="23"/>
      <c r="C121" s="23"/>
      <c r="D121" s="23"/>
      <c r="E121" s="23"/>
      <c r="F121" s="23"/>
    </row>
    <row r="122" spans="1:6" ht="16.5">
      <c r="A122" s="23"/>
      <c r="B122" s="23"/>
      <c r="C122" s="23"/>
      <c r="D122" s="23"/>
      <c r="E122" s="23"/>
      <c r="F122" s="23"/>
    </row>
    <row r="123" spans="1:6" ht="16.5">
      <c r="A123" s="23"/>
      <c r="B123" s="23"/>
      <c r="C123" s="23"/>
      <c r="D123" s="23"/>
      <c r="E123" s="23"/>
      <c r="F123" s="23"/>
    </row>
    <row r="124" spans="1:6" ht="16.5">
      <c r="A124" s="23"/>
      <c r="B124" s="23"/>
      <c r="C124" s="23"/>
      <c r="D124" s="23"/>
      <c r="E124" s="23"/>
      <c r="F124" s="23"/>
    </row>
    <row r="125" spans="1:6" ht="16.5">
      <c r="A125" s="23"/>
      <c r="B125" s="23"/>
      <c r="C125" s="23"/>
      <c r="D125" s="23"/>
      <c r="E125" s="23"/>
      <c r="F125" s="23"/>
    </row>
    <row r="126" spans="1:6" ht="16.5">
      <c r="A126" s="23"/>
      <c r="B126" s="23"/>
      <c r="C126" s="23"/>
      <c r="D126" s="23"/>
      <c r="E126" s="23"/>
      <c r="F126" s="23"/>
    </row>
    <row r="127" spans="1:6" ht="16.5">
      <c r="A127" s="23"/>
      <c r="B127" s="23"/>
      <c r="C127" s="23"/>
      <c r="D127" s="23"/>
      <c r="E127" s="23"/>
      <c r="F127" s="23"/>
    </row>
    <row r="128" spans="1:6" ht="16.5">
      <c r="A128" s="23"/>
      <c r="B128" s="23"/>
      <c r="C128" s="23"/>
      <c r="D128" s="23"/>
      <c r="E128" s="23"/>
      <c r="F128" s="23"/>
    </row>
    <row r="129" spans="1:6" ht="16.5">
      <c r="A129" s="23"/>
      <c r="B129" s="23"/>
      <c r="C129" s="23"/>
      <c r="D129" s="23"/>
      <c r="E129" s="23"/>
      <c r="F129" s="23"/>
    </row>
    <row r="130" spans="1:6" ht="16.5">
      <c r="A130" s="23"/>
      <c r="B130" s="23"/>
      <c r="C130" s="23"/>
      <c r="D130" s="23"/>
      <c r="E130" s="23"/>
      <c r="F130" s="23"/>
    </row>
    <row r="131" spans="1:6" ht="16.5">
      <c r="A131" s="23"/>
      <c r="B131" s="23"/>
      <c r="C131" s="23"/>
      <c r="D131" s="23"/>
      <c r="E131" s="23"/>
      <c r="F131" s="23"/>
    </row>
    <row r="132" spans="1:6" ht="16.5">
      <c r="A132" s="23"/>
      <c r="B132" s="23"/>
      <c r="C132" s="23"/>
      <c r="D132" s="23"/>
      <c r="E132" s="23"/>
      <c r="F132" s="23"/>
    </row>
    <row r="133" spans="1:6" ht="16.5">
      <c r="A133" s="23"/>
      <c r="B133" s="23"/>
      <c r="C133" s="23"/>
      <c r="D133" s="23"/>
      <c r="E133" s="23"/>
      <c r="F133" s="23"/>
    </row>
    <row r="134" spans="1:6" ht="16.5">
      <c r="A134" s="23"/>
      <c r="B134" s="23"/>
      <c r="C134" s="23"/>
      <c r="D134" s="23"/>
      <c r="E134" s="23"/>
      <c r="F134" s="23"/>
    </row>
    <row r="135" spans="1:6" ht="16.5">
      <c r="A135" s="23"/>
      <c r="B135" s="23"/>
      <c r="C135" s="23"/>
      <c r="D135" s="23"/>
      <c r="E135" s="23"/>
      <c r="F135" s="23"/>
    </row>
    <row r="136" spans="1:6" ht="16.5">
      <c r="A136" s="23"/>
      <c r="B136" s="23"/>
      <c r="C136" s="23"/>
      <c r="D136" s="23"/>
      <c r="E136" s="23"/>
      <c r="F136" s="23"/>
    </row>
    <row r="137" spans="1:6" ht="16.5">
      <c r="A137" s="23"/>
      <c r="B137" s="23"/>
      <c r="C137" s="23"/>
      <c r="D137" s="23"/>
      <c r="E137" s="23"/>
      <c r="F137" s="23"/>
    </row>
    <row r="138" spans="1:6" ht="16.5">
      <c r="A138" s="23"/>
      <c r="B138" s="23"/>
      <c r="C138" s="23"/>
      <c r="D138" s="23"/>
      <c r="E138" s="23"/>
      <c r="F138" s="23"/>
    </row>
    <row r="139" spans="1:6" ht="16.5">
      <c r="A139" s="23"/>
      <c r="B139" s="23"/>
      <c r="C139" s="23"/>
      <c r="D139" s="23"/>
      <c r="E139" s="23"/>
      <c r="F139" s="23"/>
    </row>
    <row r="140" spans="1:6" ht="16.5">
      <c r="A140" s="23"/>
      <c r="B140" s="23"/>
      <c r="C140" s="23"/>
      <c r="D140" s="23"/>
      <c r="E140" s="23"/>
      <c r="F140" s="23"/>
    </row>
    <row r="141" spans="1:6" ht="16.5">
      <c r="A141" s="23"/>
      <c r="B141" s="23"/>
      <c r="C141" s="23"/>
      <c r="D141" s="23"/>
      <c r="E141" s="23"/>
      <c r="F141" s="23"/>
    </row>
    <row r="142" spans="1:6" ht="16.5">
      <c r="A142" s="23"/>
      <c r="B142" s="23"/>
      <c r="C142" s="23"/>
      <c r="D142" s="23"/>
      <c r="E142" s="23"/>
      <c r="F142" s="23"/>
    </row>
    <row r="143" spans="1:6" ht="16.5">
      <c r="A143" s="23"/>
      <c r="B143" s="23"/>
      <c r="C143" s="23"/>
      <c r="D143" s="23"/>
      <c r="E143" s="23"/>
      <c r="F143" s="23"/>
    </row>
    <row r="144" spans="1:6" ht="16.5">
      <c r="A144" s="23"/>
      <c r="B144" s="23"/>
      <c r="C144" s="23"/>
      <c r="D144" s="23"/>
      <c r="E144" s="23"/>
      <c r="F144" s="23"/>
    </row>
    <row r="145" spans="1:6" ht="16.5">
      <c r="A145" s="23"/>
      <c r="B145" s="23"/>
      <c r="C145" s="23"/>
      <c r="D145" s="23"/>
      <c r="E145" s="23"/>
      <c r="F145" s="23"/>
    </row>
    <row r="146" spans="1:6" ht="16.5">
      <c r="A146" s="23"/>
      <c r="B146" s="23"/>
      <c r="C146" s="23"/>
      <c r="D146" s="23"/>
      <c r="E146" s="23"/>
      <c r="F146" s="23"/>
    </row>
    <row r="147" spans="1:6" ht="16.5">
      <c r="A147" s="23"/>
      <c r="B147" s="23"/>
      <c r="C147" s="23"/>
      <c r="D147" s="23"/>
      <c r="E147" s="23"/>
      <c r="F147" s="23"/>
    </row>
    <row r="148" spans="1:6" ht="16.5">
      <c r="A148" s="23"/>
      <c r="B148" s="23"/>
      <c r="C148" s="23"/>
      <c r="D148" s="23"/>
      <c r="E148" s="23"/>
      <c r="F148" s="23"/>
    </row>
    <row r="149" spans="1:6" ht="16.5">
      <c r="A149" s="23"/>
      <c r="B149" s="23"/>
      <c r="C149" s="23"/>
      <c r="D149" s="23"/>
      <c r="E149" s="23"/>
      <c r="F149" s="23"/>
    </row>
    <row r="150" spans="1:6" ht="16.5">
      <c r="A150" s="23"/>
      <c r="B150" s="23"/>
      <c r="C150" s="23"/>
      <c r="D150" s="23"/>
      <c r="E150" s="23"/>
      <c r="F150" s="23"/>
    </row>
    <row r="151" spans="1:6" ht="16.5">
      <c r="A151" s="23"/>
      <c r="B151" s="23"/>
      <c r="C151" s="23"/>
      <c r="D151" s="23"/>
      <c r="E151" s="23"/>
      <c r="F151" s="23"/>
    </row>
    <row r="152" spans="1:6" ht="16.5">
      <c r="A152" s="23"/>
      <c r="B152" s="23"/>
      <c r="C152" s="23"/>
      <c r="D152" s="23"/>
      <c r="E152" s="23"/>
      <c r="F152" s="23"/>
    </row>
    <row r="153" spans="1:6" ht="16.5">
      <c r="A153" s="23"/>
      <c r="B153" s="23"/>
      <c r="C153" s="23"/>
      <c r="D153" s="23"/>
      <c r="E153" s="23"/>
      <c r="F153" s="23"/>
    </row>
    <row r="154" spans="1:6" ht="16.5">
      <c r="A154" s="23"/>
      <c r="B154" s="23"/>
      <c r="C154" s="23"/>
      <c r="D154" s="23"/>
      <c r="E154" s="23"/>
      <c r="F154" s="23"/>
    </row>
    <row r="155" spans="1:6" ht="16.5">
      <c r="A155" s="23"/>
      <c r="B155" s="23"/>
      <c r="C155" s="23"/>
      <c r="D155" s="23"/>
      <c r="E155" s="23"/>
      <c r="F155" s="23"/>
    </row>
    <row r="156" spans="1:6" ht="16.5">
      <c r="A156" s="23"/>
      <c r="B156" s="23"/>
      <c r="C156" s="23"/>
      <c r="D156" s="23"/>
      <c r="E156" s="23"/>
      <c r="F156" s="23"/>
    </row>
    <row r="157" spans="1:6" ht="16.5">
      <c r="A157" s="23"/>
      <c r="B157" s="23"/>
      <c r="C157" s="23"/>
      <c r="D157" s="23"/>
      <c r="E157" s="23"/>
      <c r="F157" s="23"/>
    </row>
    <row r="158" spans="1:6" ht="16.5">
      <c r="A158" s="23"/>
      <c r="B158" s="23"/>
      <c r="C158" s="23"/>
      <c r="D158" s="23"/>
      <c r="E158" s="23"/>
      <c r="F158" s="23"/>
    </row>
    <row r="159" spans="1:6" ht="16.5">
      <c r="A159" s="23"/>
      <c r="B159" s="23"/>
      <c r="C159" s="23"/>
      <c r="D159" s="23"/>
      <c r="E159" s="23"/>
      <c r="F159" s="23"/>
    </row>
    <row r="160" spans="1:6" ht="16.5">
      <c r="A160" s="23"/>
      <c r="B160" s="23"/>
      <c r="C160" s="23"/>
      <c r="D160" s="23"/>
      <c r="E160" s="23"/>
      <c r="F160" s="23"/>
    </row>
    <row r="161" spans="1:6" ht="16.5">
      <c r="A161" s="23"/>
      <c r="B161" s="23"/>
      <c r="C161" s="23"/>
      <c r="D161" s="23"/>
      <c r="E161" s="23"/>
      <c r="F161" s="23"/>
    </row>
    <row r="162" spans="1:6" ht="16.5">
      <c r="A162" s="23"/>
      <c r="B162" s="23"/>
      <c r="C162" s="23"/>
      <c r="D162" s="23"/>
      <c r="E162" s="23"/>
      <c r="F162" s="23"/>
    </row>
    <row r="163" spans="1:6" ht="16.5">
      <c r="A163" s="23"/>
      <c r="B163" s="23"/>
      <c r="C163" s="23"/>
      <c r="D163" s="23"/>
      <c r="E163" s="23"/>
      <c r="F163" s="23"/>
    </row>
    <row r="164" spans="1:6" ht="16.5">
      <c r="A164" s="23"/>
      <c r="B164" s="23"/>
      <c r="C164" s="23"/>
      <c r="D164" s="23"/>
      <c r="E164" s="23"/>
      <c r="F164" s="23"/>
    </row>
    <row r="165" spans="1:6" ht="16.5">
      <c r="A165" s="23"/>
      <c r="B165" s="23"/>
      <c r="C165" s="23"/>
      <c r="D165" s="23"/>
      <c r="E165" s="23"/>
      <c r="F165" s="23"/>
    </row>
    <row r="166" spans="1:6" ht="16.5">
      <c r="A166" s="23"/>
      <c r="B166" s="23"/>
      <c r="C166" s="23"/>
      <c r="D166" s="23"/>
      <c r="E166" s="23"/>
      <c r="F166" s="23"/>
    </row>
    <row r="167" spans="1:6" ht="16.5">
      <c r="A167" s="23"/>
      <c r="B167" s="23"/>
      <c r="C167" s="23"/>
      <c r="D167" s="23"/>
      <c r="E167" s="23"/>
      <c r="F167" s="23"/>
    </row>
    <row r="168" spans="1:6" ht="16.5">
      <c r="A168" s="23"/>
      <c r="B168" s="23"/>
      <c r="C168" s="23"/>
      <c r="D168" s="23"/>
      <c r="E168" s="23"/>
      <c r="F168" s="23"/>
    </row>
    <row r="169" spans="1:6" ht="16.5">
      <c r="A169" s="23"/>
      <c r="B169" s="23"/>
      <c r="C169" s="23"/>
      <c r="D169" s="23"/>
      <c r="E169" s="23"/>
      <c r="F169" s="23"/>
    </row>
    <row r="170" spans="1:6" ht="16.5">
      <c r="A170" s="23"/>
      <c r="B170" s="23"/>
      <c r="C170" s="23"/>
      <c r="D170" s="23"/>
      <c r="E170" s="23"/>
      <c r="F170" s="23"/>
    </row>
    <row r="171" spans="1:6" ht="16.5">
      <c r="A171" s="23"/>
      <c r="B171" s="23"/>
      <c r="C171" s="23"/>
      <c r="D171" s="23"/>
      <c r="E171" s="23"/>
      <c r="F171" s="23"/>
    </row>
    <row r="172" spans="1:6" ht="16.5">
      <c r="A172" s="23"/>
      <c r="B172" s="23"/>
      <c r="C172" s="23"/>
      <c r="D172" s="23"/>
      <c r="E172" s="23"/>
      <c r="F172" s="23"/>
    </row>
    <row r="173" spans="1:6" ht="16.5">
      <c r="A173" s="23"/>
      <c r="B173" s="23"/>
      <c r="C173" s="23"/>
      <c r="D173" s="23"/>
      <c r="E173" s="23"/>
      <c r="F173" s="23"/>
    </row>
    <row r="174" spans="1:6" ht="16.5">
      <c r="A174" s="23"/>
      <c r="B174" s="23"/>
      <c r="C174" s="23"/>
      <c r="D174" s="23"/>
      <c r="E174" s="23"/>
      <c r="F174" s="23"/>
    </row>
    <row r="175" spans="1:6" ht="16.5">
      <c r="A175" s="23"/>
      <c r="B175" s="23"/>
      <c r="C175" s="23"/>
      <c r="D175" s="23"/>
      <c r="E175" s="23"/>
      <c r="F175" s="23"/>
    </row>
    <row r="176" spans="1:6" ht="16.5">
      <c r="A176" s="23"/>
      <c r="B176" s="23"/>
      <c r="C176" s="23"/>
      <c r="D176" s="23"/>
      <c r="E176" s="23"/>
      <c r="F176" s="23"/>
    </row>
    <row r="177" spans="1:6" ht="16.5">
      <c r="A177" s="23"/>
      <c r="B177" s="23"/>
      <c r="C177" s="23"/>
      <c r="D177" s="23"/>
      <c r="E177" s="23"/>
      <c r="F177" s="23"/>
    </row>
    <row r="178" spans="1:6" ht="16.5">
      <c r="A178" s="23"/>
      <c r="B178" s="23"/>
      <c r="C178" s="23"/>
      <c r="D178" s="23"/>
      <c r="E178" s="23"/>
      <c r="F178" s="23"/>
    </row>
    <row r="179" spans="1:6" ht="16.5">
      <c r="A179" s="23"/>
      <c r="B179" s="23"/>
      <c r="C179" s="23"/>
      <c r="D179" s="23"/>
      <c r="E179" s="23"/>
      <c r="F179" s="23"/>
    </row>
    <row r="180" spans="1:6" ht="16.5">
      <c r="A180" s="23"/>
      <c r="B180" s="23"/>
      <c r="C180" s="23"/>
      <c r="D180" s="23"/>
      <c r="E180" s="23"/>
      <c r="F180" s="23"/>
    </row>
    <row r="181" spans="1:6" ht="16.5">
      <c r="A181" s="23"/>
      <c r="B181" s="23"/>
      <c r="C181" s="23"/>
      <c r="D181" s="23"/>
      <c r="E181" s="23"/>
      <c r="F181" s="23"/>
    </row>
    <row r="182" spans="1:6" ht="16.5">
      <c r="A182" s="23"/>
      <c r="B182" s="23"/>
      <c r="C182" s="23"/>
      <c r="D182" s="23"/>
      <c r="E182" s="23"/>
      <c r="F182" s="23"/>
    </row>
    <row r="183" spans="1:6" ht="16.5">
      <c r="A183" s="23"/>
      <c r="B183" s="23"/>
      <c r="C183" s="23"/>
      <c r="D183" s="23"/>
      <c r="E183" s="23"/>
      <c r="F183" s="23"/>
    </row>
    <row r="184" spans="1:6" ht="16.5">
      <c r="A184" s="23"/>
      <c r="B184" s="23"/>
      <c r="C184" s="23"/>
      <c r="D184" s="23"/>
      <c r="E184" s="23"/>
      <c r="F184" s="23"/>
    </row>
    <row r="185" spans="1:6" ht="16.5">
      <c r="A185" s="23"/>
      <c r="B185" s="23"/>
      <c r="C185" s="23"/>
      <c r="D185" s="23"/>
      <c r="E185" s="23"/>
      <c r="F185" s="23"/>
    </row>
    <row r="186" spans="1:6" ht="16.5">
      <c r="A186" s="23"/>
      <c r="B186" s="23"/>
      <c r="C186" s="23"/>
      <c r="D186" s="23"/>
      <c r="E186" s="23"/>
      <c r="F186" s="23"/>
    </row>
    <row r="187" spans="1:6" ht="16.5">
      <c r="A187" s="23"/>
      <c r="B187" s="23"/>
      <c r="C187" s="23"/>
      <c r="D187" s="23"/>
      <c r="E187" s="23"/>
      <c r="F187" s="23"/>
    </row>
    <row r="188" spans="1:6" ht="16.5">
      <c r="A188" s="23"/>
      <c r="B188" s="23"/>
      <c r="C188" s="23"/>
      <c r="D188" s="23"/>
      <c r="E188" s="23"/>
      <c r="F188" s="23"/>
    </row>
    <row r="189" spans="1:6" ht="16.5">
      <c r="A189" s="23"/>
      <c r="B189" s="23"/>
      <c r="C189" s="23"/>
      <c r="D189" s="23"/>
      <c r="E189" s="23"/>
      <c r="F189" s="23"/>
    </row>
    <row r="190" spans="1:6" ht="16.5">
      <c r="A190" s="23"/>
      <c r="B190" s="23"/>
      <c r="C190" s="23"/>
      <c r="D190" s="23"/>
      <c r="E190" s="23"/>
      <c r="F190" s="23"/>
    </row>
    <row r="191" spans="1:6" ht="16.5">
      <c r="A191" s="23"/>
      <c r="B191" s="23"/>
      <c r="C191" s="23"/>
      <c r="D191" s="23"/>
      <c r="E191" s="23"/>
      <c r="F191" s="23"/>
    </row>
    <row r="192" spans="1:6" ht="16.5">
      <c r="A192" s="23"/>
      <c r="B192" s="23"/>
      <c r="C192" s="23"/>
      <c r="D192" s="23"/>
      <c r="E192" s="23"/>
      <c r="F192" s="23"/>
    </row>
    <row r="193" spans="1:6" ht="16.5">
      <c r="A193" s="23"/>
      <c r="B193" s="23"/>
      <c r="C193" s="23"/>
      <c r="D193" s="23"/>
      <c r="E193" s="23"/>
      <c r="F193" s="23"/>
    </row>
    <row r="194" spans="1:6" ht="16.5">
      <c r="A194" s="23"/>
      <c r="B194" s="23"/>
      <c r="C194" s="23"/>
      <c r="D194" s="23"/>
      <c r="E194" s="23"/>
      <c r="F194" s="23"/>
    </row>
    <row r="195" spans="1:6" ht="16.5">
      <c r="A195" s="23"/>
      <c r="B195" s="23"/>
      <c r="C195" s="23"/>
      <c r="D195" s="23"/>
      <c r="E195" s="23"/>
      <c r="F195" s="23"/>
    </row>
    <row r="196" spans="1:6" ht="16.5">
      <c r="A196" s="23"/>
      <c r="B196" s="23"/>
      <c r="C196" s="23"/>
      <c r="D196" s="23"/>
      <c r="E196" s="23"/>
      <c r="F196" s="23"/>
    </row>
    <row r="197" spans="1:6" ht="16.5">
      <c r="A197" s="23"/>
      <c r="B197" s="23"/>
      <c r="C197" s="23"/>
      <c r="D197" s="23"/>
      <c r="E197" s="23"/>
      <c r="F197" s="23"/>
    </row>
    <row r="198" spans="1:6" ht="16.5">
      <c r="A198" s="23"/>
      <c r="B198" s="23"/>
      <c r="C198" s="23"/>
      <c r="D198" s="23"/>
      <c r="E198" s="23"/>
      <c r="F198" s="23"/>
    </row>
    <row r="199" spans="1:6" ht="16.5">
      <c r="A199" s="23"/>
      <c r="B199" s="23"/>
      <c r="C199" s="23"/>
      <c r="D199" s="23"/>
      <c r="E199" s="23"/>
      <c r="F199" s="23"/>
    </row>
    <row r="200" spans="1:6" ht="16.5">
      <c r="A200" s="23"/>
      <c r="B200" s="23"/>
      <c r="C200" s="23"/>
      <c r="D200" s="23"/>
      <c r="E200" s="23"/>
      <c r="F200" s="23"/>
    </row>
    <row r="201" spans="1:6" ht="16.5">
      <c r="A201" s="23"/>
      <c r="B201" s="23"/>
      <c r="C201" s="23"/>
      <c r="D201" s="23"/>
      <c r="E201" s="23"/>
      <c r="F201" s="23"/>
    </row>
    <row r="202" spans="1:6" ht="16.5">
      <c r="A202" s="23"/>
      <c r="B202" s="23"/>
      <c r="C202" s="23"/>
      <c r="D202" s="23"/>
      <c r="E202" s="23"/>
      <c r="F202" s="23"/>
    </row>
    <row r="203" spans="1:6" ht="16.5">
      <c r="A203" s="23"/>
      <c r="B203" s="23"/>
      <c r="C203" s="23"/>
      <c r="D203" s="23"/>
      <c r="E203" s="23"/>
      <c r="F203" s="23"/>
    </row>
    <row r="204" spans="1:6" ht="16.5">
      <c r="A204" s="23"/>
      <c r="B204" s="23"/>
      <c r="C204" s="23"/>
      <c r="D204" s="23"/>
      <c r="E204" s="23"/>
      <c r="F204" s="23"/>
    </row>
    <row r="205" spans="1:6" ht="16.5">
      <c r="A205" s="23"/>
      <c r="B205" s="23"/>
      <c r="C205" s="23"/>
      <c r="D205" s="23"/>
      <c r="E205" s="23"/>
      <c r="F205" s="23"/>
    </row>
    <row r="206" spans="1:6" ht="16.5">
      <c r="A206" s="23"/>
      <c r="B206" s="23"/>
      <c r="C206" s="23"/>
      <c r="D206" s="23"/>
      <c r="E206" s="23"/>
      <c r="F206" s="23"/>
    </row>
    <row r="207" spans="1:6" ht="16.5">
      <c r="A207" s="23"/>
      <c r="B207" s="23"/>
      <c r="C207" s="23"/>
      <c r="D207" s="23"/>
      <c r="E207" s="23"/>
      <c r="F207" s="23"/>
    </row>
    <row r="208" spans="1:6" ht="16.5">
      <c r="A208" s="23"/>
      <c r="B208" s="23"/>
      <c r="C208" s="23"/>
      <c r="D208" s="23"/>
      <c r="E208" s="23"/>
      <c r="F208" s="23"/>
    </row>
    <row r="209" spans="1:6" ht="16.5">
      <c r="A209" s="23"/>
      <c r="B209" s="23"/>
      <c r="C209" s="23"/>
      <c r="D209" s="23"/>
      <c r="E209" s="23"/>
      <c r="F209" s="23"/>
    </row>
    <row r="210" spans="1:6" ht="16.5">
      <c r="A210" s="23"/>
      <c r="B210" s="23"/>
      <c r="C210" s="23"/>
      <c r="D210" s="23"/>
      <c r="E210" s="23"/>
      <c r="F210" s="23"/>
    </row>
    <row r="211" spans="1:6" ht="16.5">
      <c r="A211" s="23"/>
      <c r="B211" s="23"/>
      <c r="C211" s="23"/>
      <c r="D211" s="23"/>
      <c r="E211" s="23"/>
      <c r="F211" s="23"/>
    </row>
    <row r="212" spans="1:6" ht="16.5">
      <c r="A212" s="23"/>
      <c r="B212" s="23"/>
      <c r="C212" s="23"/>
      <c r="D212" s="23"/>
      <c r="E212" s="23"/>
      <c r="F212" s="23"/>
    </row>
    <row r="213" spans="1:6" ht="16.5">
      <c r="A213" s="23"/>
      <c r="B213" s="23"/>
      <c r="C213" s="23"/>
      <c r="D213" s="23"/>
      <c r="E213" s="23"/>
      <c r="F213" s="23"/>
    </row>
    <row r="214" spans="1:6" ht="16.5">
      <c r="A214" s="23"/>
      <c r="B214" s="23"/>
      <c r="C214" s="23"/>
      <c r="D214" s="23"/>
      <c r="E214" s="23"/>
      <c r="F214" s="23"/>
    </row>
    <row r="215" spans="1:6" ht="16.5">
      <c r="A215" s="23"/>
      <c r="B215" s="23"/>
      <c r="C215" s="23"/>
      <c r="D215" s="23"/>
      <c r="E215" s="23"/>
      <c r="F215" s="23"/>
    </row>
    <row r="216" spans="1:6" ht="16.5">
      <c r="A216" s="23"/>
      <c r="B216" s="23"/>
      <c r="C216" s="23"/>
      <c r="D216" s="23"/>
      <c r="E216" s="23"/>
      <c r="F216" s="23"/>
    </row>
    <row r="217" spans="1:6" ht="16.5">
      <c r="A217" s="23"/>
      <c r="B217" s="23"/>
      <c r="C217" s="23"/>
      <c r="D217" s="23"/>
      <c r="E217" s="23"/>
      <c r="F217" s="23"/>
    </row>
    <row r="218" spans="1:6" ht="16.5">
      <c r="A218" s="23"/>
      <c r="B218" s="23"/>
      <c r="C218" s="23"/>
      <c r="D218" s="23"/>
      <c r="E218" s="23"/>
      <c r="F218" s="23"/>
    </row>
    <row r="219" spans="1:6" ht="16.5">
      <c r="A219" s="23"/>
      <c r="B219" s="23"/>
      <c r="C219" s="23"/>
      <c r="D219" s="23"/>
      <c r="E219" s="23"/>
      <c r="F219" s="23"/>
    </row>
    <row r="220" spans="1:6" ht="16.5">
      <c r="A220" s="23"/>
      <c r="B220" s="23"/>
      <c r="C220" s="23"/>
      <c r="D220" s="23"/>
      <c r="E220" s="23"/>
      <c r="F220" s="23"/>
    </row>
    <row r="221" spans="1:6" ht="16.5">
      <c r="A221" s="23"/>
      <c r="B221" s="23"/>
      <c r="C221" s="23"/>
      <c r="D221" s="23"/>
      <c r="E221" s="23"/>
      <c r="F221" s="23"/>
    </row>
    <row r="222" spans="1:6" ht="16.5">
      <c r="A222" s="23"/>
      <c r="B222" s="23"/>
      <c r="C222" s="23"/>
      <c r="D222" s="23"/>
      <c r="E222" s="23"/>
      <c r="F222" s="23"/>
    </row>
    <row r="223" spans="1:6" ht="16.5">
      <c r="A223" s="23"/>
      <c r="B223" s="23"/>
      <c r="C223" s="23"/>
      <c r="D223" s="23"/>
      <c r="E223" s="23"/>
      <c r="F223" s="23"/>
    </row>
    <row r="224" spans="1:6" ht="16.5">
      <c r="A224" s="23"/>
      <c r="B224" s="23"/>
      <c r="C224" s="23"/>
      <c r="D224" s="23"/>
      <c r="E224" s="23"/>
      <c r="F224" s="23"/>
    </row>
    <row r="225" spans="1:6" ht="16.5">
      <c r="A225" s="23"/>
      <c r="B225" s="23"/>
      <c r="C225" s="23"/>
      <c r="D225" s="23"/>
      <c r="E225" s="23"/>
      <c r="F225" s="23"/>
    </row>
    <row r="226" spans="1:6" ht="16.5">
      <c r="A226" s="23"/>
      <c r="B226" s="23"/>
      <c r="C226" s="23"/>
      <c r="D226" s="23"/>
      <c r="E226" s="23"/>
      <c r="F226" s="23"/>
    </row>
    <row r="227" spans="1:6" ht="16.5">
      <c r="A227" s="23"/>
      <c r="B227" s="23"/>
      <c r="C227" s="23"/>
      <c r="D227" s="23"/>
      <c r="E227" s="23"/>
      <c r="F227" s="23"/>
    </row>
    <row r="228" spans="1:6" ht="16.5">
      <c r="A228" s="23"/>
      <c r="B228" s="23"/>
      <c r="C228" s="23"/>
      <c r="D228" s="23"/>
      <c r="E228" s="23"/>
      <c r="F228" s="23"/>
    </row>
    <row r="229" spans="1:6" ht="16.5">
      <c r="A229" s="23"/>
      <c r="B229" s="23"/>
      <c r="C229" s="23"/>
      <c r="D229" s="23"/>
      <c r="E229" s="23"/>
      <c r="F229" s="23"/>
    </row>
    <row r="230" spans="1:6" ht="16.5">
      <c r="A230" s="23"/>
      <c r="B230" s="23"/>
      <c r="C230" s="23"/>
      <c r="D230" s="23"/>
      <c r="E230" s="23"/>
      <c r="F230" s="23"/>
    </row>
    <row r="231" spans="1:6" ht="16.5">
      <c r="A231" s="23"/>
      <c r="B231" s="23"/>
      <c r="C231" s="23"/>
      <c r="D231" s="23"/>
      <c r="E231" s="23"/>
      <c r="F231" s="23"/>
    </row>
    <row r="232" spans="1:6" ht="16.5">
      <c r="A232" s="23"/>
      <c r="B232" s="23"/>
      <c r="C232" s="23"/>
      <c r="D232" s="23"/>
      <c r="E232" s="23"/>
      <c r="F232" s="23"/>
    </row>
    <row r="233" spans="1:6" ht="16.5">
      <c r="A233" s="23"/>
      <c r="B233" s="23"/>
      <c r="C233" s="23"/>
      <c r="D233" s="23"/>
      <c r="E233" s="23"/>
      <c r="F233" s="23"/>
    </row>
    <row r="234" spans="1:6" ht="16.5">
      <c r="A234" s="23"/>
      <c r="B234" s="23"/>
      <c r="C234" s="23"/>
      <c r="D234" s="23"/>
      <c r="E234" s="23"/>
      <c r="F234" s="23"/>
    </row>
    <row r="235" spans="1:6" ht="16.5">
      <c r="A235" s="23"/>
      <c r="B235" s="23"/>
      <c r="C235" s="23"/>
      <c r="D235" s="23"/>
      <c r="E235" s="23"/>
      <c r="F235" s="23"/>
    </row>
    <row r="236" spans="1:6" ht="16.5">
      <c r="A236" s="23"/>
      <c r="B236" s="23"/>
      <c r="C236" s="23"/>
      <c r="D236" s="23"/>
      <c r="E236" s="23"/>
      <c r="F236" s="23"/>
    </row>
    <row r="237" spans="1:6" ht="16.5">
      <c r="A237" s="23"/>
      <c r="B237" s="23"/>
      <c r="C237" s="23"/>
      <c r="D237" s="23"/>
      <c r="E237" s="23"/>
      <c r="F237" s="23"/>
    </row>
    <row r="238" spans="1:6" ht="16.5">
      <c r="A238" s="23"/>
      <c r="B238" s="23"/>
      <c r="C238" s="23"/>
      <c r="D238" s="23"/>
      <c r="E238" s="23"/>
      <c r="F238" s="23"/>
    </row>
    <row r="239" spans="1:6" ht="16.5">
      <c r="A239" s="23"/>
      <c r="B239" s="23"/>
      <c r="C239" s="23"/>
      <c r="D239" s="23"/>
      <c r="E239" s="23"/>
      <c r="F239" s="23"/>
    </row>
    <row r="240" spans="1:6" ht="16.5">
      <c r="A240" s="23"/>
      <c r="B240" s="23"/>
      <c r="C240" s="23"/>
      <c r="D240" s="23"/>
      <c r="E240" s="23"/>
      <c r="F240" s="23"/>
    </row>
    <row r="241" spans="1:6" ht="16.5">
      <c r="A241" s="23"/>
      <c r="B241" s="23"/>
      <c r="C241" s="23"/>
      <c r="D241" s="23"/>
      <c r="E241" s="23"/>
      <c r="F241" s="23"/>
    </row>
    <row r="242" spans="1:6" ht="16.5">
      <c r="A242" s="23"/>
      <c r="B242" s="23"/>
      <c r="C242" s="23"/>
      <c r="D242" s="23"/>
      <c r="E242" s="23"/>
      <c r="F242" s="23"/>
    </row>
    <row r="243" spans="1:6" ht="16.5">
      <c r="A243" s="23"/>
      <c r="B243" s="23"/>
      <c r="C243" s="23"/>
      <c r="D243" s="23"/>
      <c r="E243" s="23"/>
      <c r="F243" s="23"/>
    </row>
    <row r="244" spans="1:6" ht="16.5">
      <c r="A244" s="23"/>
      <c r="B244" s="23"/>
      <c r="C244" s="23"/>
      <c r="D244" s="23"/>
      <c r="E244" s="23"/>
      <c r="F244" s="23"/>
    </row>
    <row r="245" spans="1:6" ht="16.5">
      <c r="A245" s="23"/>
      <c r="B245" s="23"/>
      <c r="C245" s="23"/>
      <c r="D245" s="23"/>
      <c r="E245" s="23"/>
      <c r="F245" s="23"/>
    </row>
    <row r="246" spans="1:6" ht="16.5">
      <c r="A246" s="23"/>
      <c r="B246" s="23"/>
      <c r="C246" s="23"/>
      <c r="D246" s="23"/>
      <c r="E246" s="23"/>
      <c r="F246" s="23"/>
    </row>
    <row r="247" spans="1:6" ht="16.5">
      <c r="A247" s="23"/>
      <c r="B247" s="23"/>
      <c r="C247" s="23"/>
      <c r="D247" s="23"/>
      <c r="E247" s="23"/>
      <c r="F247" s="23"/>
    </row>
    <row r="248" spans="1:6" ht="16.5">
      <c r="A248" s="23"/>
      <c r="B248" s="23"/>
      <c r="C248" s="23"/>
      <c r="D248" s="23"/>
      <c r="E248" s="23"/>
      <c r="F248" s="23"/>
    </row>
    <row r="249" spans="1:6" ht="16.5">
      <c r="A249" s="23"/>
      <c r="B249" s="23"/>
      <c r="C249" s="23"/>
      <c r="D249" s="23"/>
      <c r="E249" s="23"/>
      <c r="F249" s="23"/>
    </row>
    <row r="250" spans="1:6" ht="16.5">
      <c r="A250" s="23"/>
      <c r="B250" s="23"/>
      <c r="C250" s="23"/>
      <c r="D250" s="23"/>
      <c r="E250" s="23"/>
      <c r="F250" s="23"/>
    </row>
    <row r="251" spans="1:6" ht="16.5">
      <c r="A251" s="23"/>
      <c r="B251" s="23"/>
      <c r="C251" s="23"/>
      <c r="D251" s="23"/>
      <c r="E251" s="23"/>
      <c r="F251" s="23"/>
    </row>
    <row r="252" spans="1:6" ht="16.5">
      <c r="A252" s="23"/>
      <c r="B252" s="23"/>
      <c r="C252" s="23"/>
      <c r="D252" s="23"/>
      <c r="E252" s="23"/>
      <c r="F252" s="23"/>
    </row>
    <row r="253" spans="1:6" ht="16.5">
      <c r="A253" s="23"/>
      <c r="B253" s="23"/>
      <c r="C253" s="23"/>
      <c r="D253" s="23"/>
      <c r="E253" s="23"/>
      <c r="F253" s="23"/>
    </row>
    <row r="254" spans="1:6" ht="16.5">
      <c r="A254" s="23"/>
      <c r="B254" s="23"/>
      <c r="C254" s="23"/>
      <c r="D254" s="23"/>
      <c r="E254" s="23"/>
      <c r="F254" s="23"/>
    </row>
    <row r="255" spans="1:6" ht="16.5">
      <c r="A255" s="23"/>
      <c r="B255" s="23"/>
      <c r="C255" s="23"/>
      <c r="D255" s="23"/>
      <c r="E255" s="23"/>
      <c r="F255" s="23"/>
    </row>
    <row r="256" spans="1:6" ht="16.5">
      <c r="A256" s="23"/>
      <c r="B256" s="23"/>
      <c r="C256" s="23"/>
      <c r="D256" s="23"/>
      <c r="E256" s="23"/>
      <c r="F256" s="23"/>
    </row>
    <row r="257" spans="1:6" ht="16.5">
      <c r="A257" s="23"/>
      <c r="B257" s="23"/>
      <c r="C257" s="23"/>
      <c r="D257" s="23"/>
      <c r="E257" s="23"/>
      <c r="F257" s="23"/>
    </row>
    <row r="258" spans="1:6" ht="16.5">
      <c r="A258" s="23"/>
      <c r="B258" s="23"/>
      <c r="C258" s="23"/>
      <c r="D258" s="23"/>
      <c r="E258" s="23"/>
      <c r="F258" s="23"/>
    </row>
    <row r="259" spans="1:6" ht="16.5">
      <c r="A259" s="23"/>
      <c r="B259" s="23"/>
      <c r="C259" s="23"/>
      <c r="D259" s="23"/>
      <c r="E259" s="23"/>
      <c r="F259" s="23"/>
    </row>
    <row r="260" spans="1:6" ht="16.5">
      <c r="A260" s="23"/>
      <c r="B260" s="23"/>
      <c r="C260" s="23"/>
      <c r="D260" s="23"/>
      <c r="E260" s="23"/>
      <c r="F260" s="23"/>
    </row>
    <row r="261" spans="1:6" ht="16.5">
      <c r="A261" s="23"/>
      <c r="B261" s="23"/>
      <c r="C261" s="23"/>
      <c r="D261" s="23"/>
      <c r="E261" s="23"/>
      <c r="F261" s="23"/>
    </row>
    <row r="262" spans="1:6" ht="16.5">
      <c r="A262" s="23"/>
      <c r="B262" s="23"/>
      <c r="C262" s="23"/>
      <c r="D262" s="23"/>
      <c r="E262" s="23"/>
      <c r="F262" s="23"/>
    </row>
    <row r="263" spans="1:6" ht="16.5">
      <c r="A263" s="23"/>
      <c r="B263" s="23"/>
      <c r="C263" s="23"/>
      <c r="D263" s="23"/>
      <c r="E263" s="23"/>
      <c r="F263" s="23"/>
    </row>
    <row r="264" spans="1:6" ht="16.5">
      <c r="A264" s="23"/>
      <c r="B264" s="23"/>
      <c r="C264" s="23"/>
      <c r="D264" s="23"/>
      <c r="E264" s="23"/>
      <c r="F264" s="23"/>
    </row>
    <row r="265" spans="1:6" ht="16.5">
      <c r="A265" s="23"/>
      <c r="B265" s="23"/>
      <c r="C265" s="23"/>
      <c r="D265" s="23"/>
      <c r="E265" s="23"/>
      <c r="F265" s="23"/>
    </row>
    <row r="266" spans="1:6" ht="16.5">
      <c r="A266" s="23"/>
      <c r="B266" s="23"/>
      <c r="C266" s="23"/>
      <c r="D266" s="23"/>
      <c r="E266" s="23"/>
      <c r="F266" s="23"/>
    </row>
    <row r="267" spans="1:6" ht="16.5">
      <c r="A267" s="23"/>
      <c r="B267" s="23"/>
      <c r="C267" s="23"/>
      <c r="D267" s="23"/>
      <c r="E267" s="23"/>
      <c r="F267" s="23"/>
    </row>
    <row r="268" spans="1:6" ht="16.5">
      <c r="A268" s="23"/>
      <c r="B268" s="23"/>
      <c r="C268" s="23"/>
      <c r="D268" s="23"/>
      <c r="E268" s="23"/>
      <c r="F268" s="23"/>
    </row>
    <row r="269" spans="1:6" ht="16.5">
      <c r="A269" s="23"/>
      <c r="B269" s="23"/>
      <c r="C269" s="23"/>
      <c r="D269" s="23"/>
      <c r="E269" s="23"/>
      <c r="F269" s="23"/>
    </row>
    <row r="270" spans="1:6" ht="16.5">
      <c r="A270" s="23"/>
      <c r="B270" s="23"/>
      <c r="C270" s="23"/>
      <c r="D270" s="23"/>
      <c r="E270" s="23"/>
      <c r="F270" s="23"/>
    </row>
    <row r="271" spans="1:6" ht="16.5">
      <c r="A271" s="23"/>
      <c r="B271" s="23"/>
      <c r="C271" s="23"/>
      <c r="D271" s="23"/>
      <c r="E271" s="23"/>
      <c r="F271" s="23"/>
    </row>
    <row r="272" spans="1:6" ht="16.5">
      <c r="A272" s="23"/>
      <c r="B272" s="23"/>
      <c r="C272" s="23"/>
      <c r="D272" s="23"/>
      <c r="E272" s="23"/>
      <c r="F272" s="23"/>
    </row>
    <row r="273" spans="1:6" ht="16.5">
      <c r="A273" s="23"/>
      <c r="B273" s="23"/>
      <c r="C273" s="23"/>
      <c r="D273" s="23"/>
      <c r="E273" s="23"/>
      <c r="F273" s="23"/>
    </row>
    <row r="274" spans="1:6" ht="16.5">
      <c r="A274" s="23"/>
      <c r="B274" s="23"/>
      <c r="C274" s="23"/>
      <c r="D274" s="23"/>
      <c r="E274" s="23"/>
      <c r="F274" s="23"/>
    </row>
    <row r="275" spans="1:6" ht="16.5">
      <c r="A275" s="23"/>
      <c r="B275" s="23"/>
      <c r="C275" s="23"/>
      <c r="D275" s="23"/>
      <c r="E275" s="23"/>
      <c r="F275" s="23"/>
    </row>
    <row r="276" spans="1:6" ht="16.5">
      <c r="A276" s="23"/>
      <c r="B276" s="23"/>
      <c r="C276" s="23"/>
      <c r="D276" s="23"/>
      <c r="E276" s="23"/>
      <c r="F276" s="23"/>
    </row>
    <row r="277" spans="1:6" ht="16.5">
      <c r="A277" s="23"/>
      <c r="B277" s="23"/>
      <c r="C277" s="23"/>
      <c r="D277" s="23"/>
      <c r="E277" s="23"/>
      <c r="F277" s="23"/>
    </row>
    <row r="278" spans="1:6" ht="16.5">
      <c r="A278" s="23"/>
      <c r="B278" s="23"/>
      <c r="C278" s="23"/>
      <c r="D278" s="23"/>
      <c r="E278" s="23"/>
      <c r="F278" s="23"/>
    </row>
    <row r="279" spans="1:6" ht="16.5">
      <c r="A279" s="23"/>
      <c r="B279" s="23"/>
      <c r="C279" s="23"/>
      <c r="D279" s="23"/>
      <c r="E279" s="23"/>
      <c r="F279" s="23"/>
    </row>
    <row r="280" spans="1:6" ht="16.5">
      <c r="A280" s="23"/>
      <c r="B280" s="23"/>
      <c r="C280" s="23"/>
      <c r="D280" s="23"/>
      <c r="E280" s="23"/>
      <c r="F280" s="23"/>
    </row>
    <row r="281" spans="1:6" ht="16.5">
      <c r="A281" s="23"/>
      <c r="B281" s="23"/>
      <c r="C281" s="23"/>
      <c r="D281" s="23"/>
      <c r="E281" s="23"/>
      <c r="F281" s="23"/>
    </row>
    <row r="282" spans="1:6" ht="16.5">
      <c r="A282" s="23"/>
      <c r="B282" s="23"/>
      <c r="C282" s="23"/>
      <c r="D282" s="23"/>
      <c r="E282" s="23"/>
      <c r="F282" s="23"/>
    </row>
    <row r="283" spans="1:6" ht="16.5">
      <c r="A283" s="23"/>
      <c r="B283" s="23"/>
      <c r="C283" s="23"/>
      <c r="D283" s="23"/>
      <c r="E283" s="23"/>
      <c r="F283" s="23"/>
    </row>
    <row r="284" spans="1:6" ht="16.5">
      <c r="A284" s="23"/>
      <c r="B284" s="23"/>
      <c r="C284" s="23"/>
      <c r="D284" s="23"/>
      <c r="E284" s="23"/>
      <c r="F284" s="23"/>
    </row>
    <row r="285" spans="1:6" ht="16.5">
      <c r="A285" s="23"/>
      <c r="B285" s="23"/>
      <c r="C285" s="23"/>
      <c r="D285" s="23"/>
      <c r="E285" s="23"/>
      <c r="F285" s="23"/>
    </row>
    <row r="286" spans="1:6" ht="16.5">
      <c r="A286" s="23"/>
      <c r="B286" s="23"/>
      <c r="C286" s="23"/>
      <c r="D286" s="23"/>
      <c r="E286" s="23"/>
      <c r="F286" s="23"/>
    </row>
    <row r="287" spans="1:6" ht="16.5">
      <c r="A287" s="23"/>
      <c r="B287" s="23"/>
      <c r="C287" s="23"/>
      <c r="D287" s="23"/>
      <c r="E287" s="23"/>
      <c r="F287" s="23"/>
    </row>
    <row r="288" spans="1:6" ht="16.5">
      <c r="A288" s="23"/>
      <c r="B288" s="23"/>
      <c r="C288" s="23"/>
      <c r="D288" s="23"/>
      <c r="E288" s="23"/>
      <c r="F288" s="23"/>
    </row>
    <row r="289" spans="1:6" ht="16.5">
      <c r="A289" s="23"/>
      <c r="B289" s="23"/>
      <c r="C289" s="23"/>
      <c r="D289" s="23"/>
      <c r="E289" s="23"/>
      <c r="F289" s="23"/>
    </row>
    <row r="290" spans="1:6" ht="16.5">
      <c r="A290" s="23"/>
      <c r="B290" s="23"/>
      <c r="C290" s="23"/>
      <c r="D290" s="23"/>
      <c r="E290" s="23"/>
      <c r="F290" s="23"/>
    </row>
    <row r="291" spans="1:6" ht="16.5">
      <c r="A291" s="23"/>
      <c r="B291" s="23"/>
      <c r="C291" s="23"/>
      <c r="D291" s="23"/>
      <c r="E291" s="23"/>
      <c r="F291" s="23"/>
    </row>
    <row r="292" spans="1:6" ht="16.5">
      <c r="A292" s="23"/>
      <c r="B292" s="23"/>
      <c r="C292" s="23"/>
      <c r="D292" s="23"/>
      <c r="E292" s="23"/>
      <c r="F292" s="23"/>
    </row>
    <row r="293" spans="1:6" ht="16.5">
      <c r="A293" s="23"/>
      <c r="B293" s="23"/>
      <c r="C293" s="23"/>
      <c r="D293" s="23"/>
      <c r="E293" s="23"/>
      <c r="F293" s="23"/>
    </row>
    <row r="294" spans="1:6" ht="16.5">
      <c r="A294" s="23"/>
      <c r="B294" s="23"/>
      <c r="C294" s="23"/>
      <c r="D294" s="23"/>
      <c r="E294" s="23"/>
      <c r="F294" s="23"/>
    </row>
    <row r="295" spans="1:6" ht="16.5">
      <c r="A295" s="23"/>
      <c r="B295" s="23"/>
      <c r="C295" s="23"/>
      <c r="D295" s="23"/>
      <c r="E295" s="23"/>
      <c r="F295" s="23"/>
    </row>
    <row r="296" spans="1:6" ht="16.5">
      <c r="A296" s="23"/>
      <c r="B296" s="23"/>
      <c r="C296" s="23"/>
      <c r="D296" s="23"/>
      <c r="E296" s="23"/>
      <c r="F296" s="23"/>
    </row>
    <row r="297" spans="1:6" ht="16.5">
      <c r="A297" s="23"/>
      <c r="B297" s="23"/>
      <c r="C297" s="23"/>
      <c r="D297" s="23"/>
      <c r="E297" s="23"/>
      <c r="F297" s="23"/>
    </row>
    <row r="298" spans="1:6" ht="16.5">
      <c r="A298" s="23"/>
      <c r="B298" s="23"/>
      <c r="C298" s="23"/>
      <c r="D298" s="23"/>
      <c r="E298" s="23"/>
      <c r="F298" s="23"/>
    </row>
    <row r="299" spans="1:6" ht="16.5">
      <c r="A299" s="23"/>
      <c r="B299" s="23"/>
      <c r="C299" s="23"/>
      <c r="D299" s="23"/>
      <c r="E299" s="23"/>
      <c r="F299" s="23"/>
    </row>
    <row r="300" spans="1:6" ht="16.5">
      <c r="A300" s="23"/>
      <c r="B300" s="23"/>
      <c r="C300" s="23"/>
      <c r="D300" s="23"/>
      <c r="E300" s="23"/>
      <c r="F300" s="23"/>
    </row>
    <row r="301" spans="1:6" ht="16.5">
      <c r="A301" s="23"/>
      <c r="B301" s="23"/>
      <c r="C301" s="23"/>
      <c r="D301" s="23"/>
      <c r="E301" s="23"/>
      <c r="F301" s="23"/>
    </row>
    <row r="302" spans="1:6" ht="16.5">
      <c r="A302" s="23"/>
      <c r="B302" s="23"/>
      <c r="C302" s="23"/>
      <c r="D302" s="23"/>
      <c r="E302" s="23"/>
      <c r="F302" s="23"/>
    </row>
    <row r="303" spans="1:6" ht="16.5">
      <c r="A303" s="23"/>
      <c r="B303" s="23"/>
      <c r="C303" s="23"/>
      <c r="D303" s="23"/>
      <c r="E303" s="23"/>
      <c r="F303" s="23"/>
    </row>
    <row r="304" spans="1:6" ht="16.5">
      <c r="A304" s="23"/>
      <c r="B304" s="23"/>
      <c r="C304" s="23"/>
      <c r="D304" s="23"/>
      <c r="E304" s="23"/>
      <c r="F304" s="23"/>
    </row>
    <row r="305" spans="1:6" ht="16.5">
      <c r="A305" s="23"/>
      <c r="B305" s="23"/>
      <c r="C305" s="23"/>
      <c r="D305" s="23"/>
      <c r="E305" s="23"/>
      <c r="F305" s="23"/>
    </row>
    <row r="306" spans="1:6" ht="16.5">
      <c r="A306" s="23"/>
      <c r="B306" s="23"/>
      <c r="C306" s="23"/>
      <c r="D306" s="23"/>
      <c r="E306" s="23"/>
      <c r="F306" s="23"/>
    </row>
    <row r="307" spans="1:6" ht="16.5">
      <c r="A307" s="23"/>
      <c r="B307" s="23"/>
      <c r="C307" s="23"/>
      <c r="D307" s="23"/>
      <c r="E307" s="23"/>
      <c r="F307" s="23"/>
    </row>
    <row r="308" spans="1:6" ht="16.5">
      <c r="A308" s="23"/>
      <c r="B308" s="23"/>
      <c r="C308" s="23"/>
      <c r="D308" s="23"/>
      <c r="E308" s="23"/>
      <c r="F308" s="23"/>
    </row>
    <row r="309" spans="1:6" ht="16.5">
      <c r="A309" s="23"/>
      <c r="B309" s="23"/>
      <c r="C309" s="23"/>
      <c r="D309" s="23"/>
      <c r="E309" s="23"/>
      <c r="F309" s="23"/>
    </row>
    <row r="310" spans="1:6" ht="16.5">
      <c r="A310" s="23"/>
      <c r="B310" s="23"/>
      <c r="C310" s="23"/>
      <c r="D310" s="23"/>
      <c r="E310" s="23"/>
      <c r="F310" s="23"/>
    </row>
    <row r="311" spans="1:6" ht="16.5">
      <c r="A311" s="23"/>
      <c r="B311" s="23"/>
      <c r="C311" s="23"/>
      <c r="D311" s="23"/>
      <c r="E311" s="23"/>
      <c r="F311" s="23"/>
    </row>
    <row r="312" spans="1:6" ht="16.5">
      <c r="A312" s="23"/>
      <c r="B312" s="23"/>
      <c r="C312" s="23"/>
      <c r="D312" s="23"/>
      <c r="E312" s="23"/>
      <c r="F312" s="23"/>
    </row>
    <row r="313" spans="1:6" ht="16.5">
      <c r="A313" s="23"/>
      <c r="B313" s="23"/>
      <c r="C313" s="23"/>
      <c r="D313" s="23"/>
      <c r="E313" s="23"/>
      <c r="F313" s="23"/>
    </row>
    <row r="314" spans="1:6" ht="16.5">
      <c r="A314" s="23"/>
      <c r="B314" s="23"/>
      <c r="C314" s="23"/>
      <c r="D314" s="23"/>
      <c r="E314" s="23"/>
      <c r="F314" s="23"/>
    </row>
    <row r="315" spans="1:6" ht="16.5">
      <c r="A315" s="23"/>
      <c r="B315" s="23"/>
      <c r="C315" s="23"/>
      <c r="D315" s="23"/>
      <c r="E315" s="23"/>
      <c r="F315" s="23"/>
    </row>
    <row r="316" spans="1:6" ht="16.5">
      <c r="A316" s="23"/>
      <c r="B316" s="23"/>
      <c r="C316" s="23"/>
      <c r="D316" s="23"/>
      <c r="E316" s="23"/>
      <c r="F316" s="23"/>
    </row>
    <row r="317" spans="1:6" ht="16.5">
      <c r="A317" s="23"/>
      <c r="B317" s="23"/>
      <c r="C317" s="23"/>
      <c r="D317" s="23"/>
      <c r="E317" s="23"/>
      <c r="F317" s="23"/>
    </row>
    <row r="318" spans="1:6" ht="16.5">
      <c r="A318" s="23"/>
      <c r="B318" s="23"/>
      <c r="C318" s="23"/>
      <c r="D318" s="23"/>
      <c r="E318" s="23"/>
      <c r="F318" s="23"/>
    </row>
    <row r="319" spans="1:6" ht="16.5">
      <c r="A319" s="23"/>
      <c r="B319" s="23"/>
      <c r="C319" s="23"/>
      <c r="D319" s="23"/>
      <c r="E319" s="23"/>
      <c r="F319" s="23"/>
    </row>
    <row r="320" spans="1:6" ht="16.5">
      <c r="A320" s="23"/>
      <c r="B320" s="23"/>
      <c r="C320" s="23"/>
      <c r="D320" s="23"/>
      <c r="E320" s="23"/>
      <c r="F320" s="23"/>
    </row>
    <row r="321" spans="1:6" ht="16.5">
      <c r="A321" s="23"/>
      <c r="B321" s="23"/>
      <c r="C321" s="23"/>
      <c r="D321" s="23"/>
      <c r="E321" s="23"/>
      <c r="F321" s="23"/>
    </row>
    <row r="322" spans="1:6" ht="16.5">
      <c r="A322" s="23"/>
      <c r="B322" s="23"/>
      <c r="C322" s="23"/>
      <c r="D322" s="23"/>
      <c r="E322" s="23"/>
      <c r="F322" s="23"/>
    </row>
    <row r="323" spans="1:6" ht="16.5">
      <c r="A323" s="23"/>
      <c r="B323" s="23"/>
      <c r="C323" s="23"/>
      <c r="D323" s="23"/>
      <c r="E323" s="23"/>
      <c r="F323" s="23"/>
    </row>
    <row r="324" spans="1:6" ht="16.5">
      <c r="A324" s="23"/>
      <c r="B324" s="23"/>
      <c r="C324" s="23"/>
      <c r="D324" s="23"/>
      <c r="E324" s="23"/>
      <c r="F324" s="23"/>
    </row>
    <row r="325" spans="1:6" ht="16.5">
      <c r="A325" s="23"/>
      <c r="B325" s="23"/>
      <c r="C325" s="23"/>
      <c r="D325" s="23"/>
      <c r="E325" s="23"/>
      <c r="F325" s="23"/>
    </row>
    <row r="326" spans="1:6" ht="16.5">
      <c r="A326" s="23"/>
      <c r="B326" s="23"/>
      <c r="C326" s="23"/>
      <c r="D326" s="23"/>
      <c r="E326" s="23"/>
      <c r="F326" s="23"/>
    </row>
    <row r="327" spans="1:6" ht="16.5">
      <c r="A327" s="23"/>
      <c r="B327" s="23"/>
      <c r="C327" s="23"/>
      <c r="D327" s="23"/>
      <c r="E327" s="23"/>
      <c r="F327" s="23"/>
    </row>
    <row r="328" spans="1:6" ht="16.5">
      <c r="A328" s="23"/>
      <c r="B328" s="23"/>
      <c r="C328" s="23"/>
      <c r="D328" s="23"/>
      <c r="E328" s="23"/>
      <c r="F328" s="23"/>
    </row>
    <row r="329" spans="1:6" ht="16.5">
      <c r="A329" s="23"/>
      <c r="B329" s="23"/>
      <c r="C329" s="23"/>
      <c r="D329" s="23"/>
      <c r="E329" s="23"/>
      <c r="F329" s="23"/>
    </row>
    <row r="330" spans="1:6" ht="16.5">
      <c r="A330" s="23"/>
      <c r="B330" s="23"/>
      <c r="C330" s="23"/>
      <c r="D330" s="23"/>
      <c r="E330" s="23"/>
      <c r="F330" s="23"/>
    </row>
    <row r="331" spans="1:6" ht="16.5">
      <c r="A331" s="23"/>
      <c r="B331" s="23"/>
      <c r="C331" s="23"/>
      <c r="D331" s="23"/>
      <c r="E331" s="23"/>
      <c r="F331" s="23"/>
    </row>
    <row r="332" spans="1:6" ht="16.5">
      <c r="A332" s="23"/>
      <c r="B332" s="23"/>
      <c r="C332" s="23"/>
      <c r="D332" s="23"/>
      <c r="E332" s="23"/>
      <c r="F332" s="23"/>
    </row>
    <row r="333" spans="1:6" ht="16.5">
      <c r="A333" s="23"/>
      <c r="B333" s="23"/>
      <c r="C333" s="23"/>
      <c r="D333" s="23"/>
      <c r="E333" s="23"/>
      <c r="F333" s="23"/>
    </row>
    <row r="334" spans="1:6" ht="16.5">
      <c r="A334" s="23"/>
      <c r="B334" s="23"/>
      <c r="C334" s="23"/>
      <c r="D334" s="23"/>
      <c r="E334" s="23"/>
      <c r="F334" s="23"/>
    </row>
    <row r="335" spans="1:6" ht="16.5">
      <c r="A335" s="23"/>
      <c r="B335" s="23"/>
      <c r="C335" s="23"/>
      <c r="D335" s="23"/>
      <c r="E335" s="23"/>
      <c r="F335" s="23"/>
    </row>
    <row r="336" spans="1:6" ht="16.5">
      <c r="A336" s="23"/>
      <c r="B336" s="23"/>
      <c r="C336" s="23"/>
      <c r="D336" s="23"/>
      <c r="E336" s="23"/>
      <c r="F336" s="23"/>
    </row>
    <row r="337" spans="1:6" ht="16.5">
      <c r="A337" s="23"/>
      <c r="B337" s="23"/>
      <c r="C337" s="23"/>
      <c r="D337" s="23"/>
      <c r="E337" s="23"/>
      <c r="F337" s="23"/>
    </row>
    <row r="338" spans="1:6" ht="16.5">
      <c r="A338" s="23"/>
      <c r="B338" s="23"/>
      <c r="C338" s="23"/>
      <c r="D338" s="23"/>
      <c r="E338" s="23"/>
      <c r="F338" s="23"/>
    </row>
    <row r="339" spans="1:6" ht="16.5">
      <c r="A339" s="23"/>
      <c r="B339" s="23"/>
      <c r="C339" s="23"/>
      <c r="D339" s="23"/>
      <c r="E339" s="23"/>
      <c r="F339" s="23"/>
    </row>
    <row r="340" spans="1:6" ht="16.5">
      <c r="A340" s="23"/>
      <c r="B340" s="23"/>
      <c r="C340" s="23"/>
      <c r="D340" s="23"/>
      <c r="E340" s="23"/>
      <c r="F340" s="23"/>
    </row>
    <row r="341" spans="1:6" ht="16.5">
      <c r="A341" s="23"/>
      <c r="B341" s="23"/>
      <c r="C341" s="23"/>
      <c r="D341" s="23"/>
      <c r="E341" s="23"/>
      <c r="F341" s="23"/>
    </row>
    <row r="342" spans="1:6" ht="16.5">
      <c r="A342" s="23"/>
      <c r="B342" s="23"/>
      <c r="C342" s="23"/>
      <c r="D342" s="23"/>
      <c r="E342" s="23"/>
      <c r="F342" s="23"/>
    </row>
    <row r="343" spans="1:6" ht="16.5">
      <c r="A343" s="23"/>
      <c r="B343" s="23"/>
      <c r="C343" s="23"/>
      <c r="D343" s="23"/>
      <c r="E343" s="23"/>
      <c r="F343" s="23"/>
    </row>
    <row r="344" spans="1:6" ht="16.5">
      <c r="A344" s="23"/>
      <c r="B344" s="23"/>
      <c r="C344" s="23"/>
      <c r="D344" s="23"/>
      <c r="E344" s="23"/>
      <c r="F344" s="23"/>
    </row>
    <row r="345" spans="1:6" ht="16.5">
      <c r="A345" s="23"/>
      <c r="B345" s="23"/>
      <c r="C345" s="23"/>
      <c r="D345" s="23"/>
      <c r="E345" s="23"/>
      <c r="F345" s="23"/>
    </row>
    <row r="346" spans="1:6" ht="16.5">
      <c r="A346" s="23"/>
      <c r="B346" s="23"/>
      <c r="C346" s="23"/>
      <c r="D346" s="23"/>
      <c r="E346" s="23"/>
      <c r="F346" s="23"/>
    </row>
    <row r="347" spans="1:6" ht="16.5">
      <c r="A347" s="23"/>
      <c r="B347" s="23"/>
      <c r="C347" s="23"/>
      <c r="D347" s="23"/>
      <c r="E347" s="23"/>
      <c r="F347" s="23"/>
    </row>
    <row r="348" spans="1:6" ht="16.5">
      <c r="A348" s="23"/>
      <c r="B348" s="23"/>
      <c r="C348" s="23"/>
      <c r="D348" s="23"/>
      <c r="E348" s="23"/>
      <c r="F348" s="23"/>
    </row>
    <row r="349" spans="1:6" ht="16.5">
      <c r="A349" s="23"/>
      <c r="B349" s="23"/>
      <c r="C349" s="23"/>
      <c r="D349" s="23"/>
      <c r="E349" s="23"/>
      <c r="F349" s="23"/>
    </row>
    <row r="350" spans="1:6" ht="16.5">
      <c r="A350" s="23"/>
      <c r="B350" s="23"/>
      <c r="C350" s="23"/>
      <c r="D350" s="23"/>
      <c r="E350" s="23"/>
      <c r="F350" s="23"/>
    </row>
    <row r="351" spans="1:6" ht="16.5">
      <c r="A351" s="23"/>
      <c r="B351" s="23"/>
      <c r="C351" s="23"/>
      <c r="D351" s="23"/>
      <c r="E351" s="23"/>
      <c r="F351" s="23"/>
    </row>
    <row r="352" spans="1:6" ht="16.5">
      <c r="A352" s="23"/>
      <c r="B352" s="23"/>
      <c r="C352" s="23"/>
      <c r="D352" s="23"/>
      <c r="E352" s="23"/>
      <c r="F352" s="23"/>
    </row>
    <row r="353" spans="1:6" ht="16.5">
      <c r="A353" s="23"/>
      <c r="B353" s="23"/>
      <c r="C353" s="23"/>
      <c r="D353" s="23"/>
      <c r="E353" s="23"/>
      <c r="F353" s="23"/>
    </row>
    <row r="354" spans="1:6" ht="16.5">
      <c r="A354" s="23"/>
      <c r="B354" s="23"/>
      <c r="C354" s="23"/>
      <c r="D354" s="23"/>
      <c r="E354" s="23"/>
      <c r="F354" s="23"/>
    </row>
    <row r="355" spans="1:6" ht="16.5">
      <c r="A355" s="23"/>
      <c r="B355" s="23"/>
      <c r="C355" s="23"/>
      <c r="D355" s="23"/>
      <c r="E355" s="23"/>
      <c r="F355" s="23"/>
    </row>
    <row r="356" spans="1:6" ht="16.5">
      <c r="A356" s="23"/>
      <c r="B356" s="23"/>
      <c r="C356" s="23"/>
      <c r="D356" s="23"/>
      <c r="E356" s="23"/>
      <c r="F356" s="23"/>
    </row>
    <row r="357" spans="1:6" ht="16.5">
      <c r="A357" s="23"/>
      <c r="B357" s="23"/>
      <c r="C357" s="23"/>
      <c r="D357" s="23"/>
      <c r="E357" s="23"/>
      <c r="F357" s="23"/>
    </row>
    <row r="358" spans="1:6" ht="16.5">
      <c r="A358" s="23"/>
      <c r="B358" s="23"/>
      <c r="C358" s="23"/>
      <c r="D358" s="23"/>
      <c r="E358" s="23"/>
      <c r="F358" s="23"/>
    </row>
    <row r="359" spans="1:6" ht="16.5">
      <c r="A359" s="23"/>
      <c r="B359" s="23"/>
      <c r="C359" s="23"/>
      <c r="D359" s="23"/>
      <c r="E359" s="23"/>
      <c r="F359" s="23"/>
    </row>
    <row r="360" spans="1:6" ht="16.5">
      <c r="A360" s="23"/>
      <c r="B360" s="23"/>
      <c r="C360" s="23"/>
      <c r="D360" s="23"/>
      <c r="E360" s="23"/>
      <c r="F360" s="23"/>
    </row>
    <row r="361" spans="1:6" ht="16.5">
      <c r="A361" s="23"/>
      <c r="B361" s="23"/>
      <c r="C361" s="23"/>
      <c r="D361" s="23"/>
      <c r="E361" s="23"/>
      <c r="F361" s="23"/>
    </row>
    <row r="362" spans="1:6" ht="16.5">
      <c r="A362" s="23"/>
      <c r="B362" s="23"/>
      <c r="C362" s="23"/>
      <c r="D362" s="23"/>
      <c r="E362" s="23"/>
      <c r="F362" s="23"/>
    </row>
    <row r="363" spans="1:6" ht="16.5">
      <c r="A363" s="23"/>
      <c r="B363" s="23"/>
      <c r="C363" s="23"/>
      <c r="D363" s="23"/>
      <c r="E363" s="23"/>
      <c r="F363" s="23"/>
    </row>
    <row r="364" spans="1:6" ht="16.5">
      <c r="A364" s="23"/>
      <c r="B364" s="23"/>
      <c r="C364" s="23"/>
      <c r="D364" s="23"/>
      <c r="E364" s="23"/>
      <c r="F364" s="23"/>
    </row>
    <row r="365" spans="1:6" ht="16.5">
      <c r="A365" s="23"/>
      <c r="B365" s="23"/>
      <c r="C365" s="23"/>
      <c r="D365" s="23"/>
      <c r="E365" s="23"/>
      <c r="F365" s="23"/>
    </row>
    <row r="366" spans="1:6" ht="16.5">
      <c r="A366" s="23"/>
      <c r="B366" s="23"/>
      <c r="C366" s="23"/>
      <c r="D366" s="23"/>
      <c r="E366" s="23"/>
      <c r="F366" s="23"/>
    </row>
    <row r="367" spans="1:6" ht="16.5">
      <c r="A367" s="23"/>
      <c r="B367" s="23"/>
      <c r="C367" s="23"/>
      <c r="D367" s="23"/>
      <c r="E367" s="23"/>
      <c r="F367" s="23"/>
    </row>
    <row r="368" spans="1:6" ht="16.5">
      <c r="A368" s="23"/>
      <c r="B368" s="23"/>
      <c r="C368" s="23"/>
      <c r="D368" s="23"/>
      <c r="E368" s="23"/>
      <c r="F368" s="23"/>
    </row>
    <row r="369" spans="1:6" ht="16.5">
      <c r="A369" s="23"/>
      <c r="B369" s="23"/>
      <c r="C369" s="23"/>
      <c r="D369" s="23"/>
      <c r="E369" s="23"/>
      <c r="F369" s="23"/>
    </row>
    <row r="370" spans="1:6" ht="16.5">
      <c r="A370" s="23"/>
      <c r="B370" s="23"/>
      <c r="C370" s="23"/>
      <c r="D370" s="23"/>
      <c r="E370" s="23"/>
      <c r="F370" s="23"/>
    </row>
    <row r="371" spans="1:6" ht="16.5">
      <c r="A371" s="23"/>
      <c r="B371" s="23"/>
      <c r="C371" s="23"/>
      <c r="D371" s="23"/>
      <c r="E371" s="23"/>
      <c r="F371" s="23"/>
    </row>
    <row r="372" spans="1:6" ht="16.5">
      <c r="A372" s="23"/>
      <c r="B372" s="23"/>
      <c r="C372" s="23"/>
      <c r="D372" s="23"/>
      <c r="E372" s="23"/>
      <c r="F372" s="23"/>
    </row>
    <row r="373" spans="1:6" ht="16.5">
      <c r="A373" s="23"/>
      <c r="B373" s="23"/>
      <c r="C373" s="23"/>
      <c r="D373" s="23"/>
      <c r="E373" s="23"/>
      <c r="F373" s="23"/>
    </row>
    <row r="374" spans="1:6" ht="16.5">
      <c r="A374" s="23"/>
      <c r="B374" s="23"/>
      <c r="C374" s="23"/>
      <c r="D374" s="23"/>
      <c r="E374" s="23"/>
      <c r="F374" s="23"/>
    </row>
    <row r="375" spans="1:6" ht="16.5">
      <c r="A375" s="23"/>
      <c r="B375" s="23"/>
      <c r="C375" s="23"/>
      <c r="D375" s="23"/>
      <c r="E375" s="23"/>
      <c r="F375" s="23"/>
    </row>
    <row r="376" spans="1:6" ht="16.5">
      <c r="A376" s="23"/>
      <c r="B376" s="23"/>
      <c r="C376" s="23"/>
      <c r="D376" s="23"/>
      <c r="E376" s="23"/>
      <c r="F376" s="23"/>
    </row>
    <row r="377" spans="1:6" ht="16.5">
      <c r="A377" s="23"/>
      <c r="B377" s="23"/>
      <c r="C377" s="23"/>
      <c r="D377" s="23"/>
      <c r="E377" s="23"/>
      <c r="F377" s="23"/>
    </row>
    <row r="378" spans="1:6" ht="16.5">
      <c r="A378" s="23"/>
      <c r="B378" s="23"/>
      <c r="C378" s="23"/>
      <c r="D378" s="23"/>
      <c r="E378" s="23"/>
      <c r="F378" s="23"/>
    </row>
    <row r="379" spans="1:6" ht="16.5">
      <c r="A379" s="23"/>
      <c r="B379" s="23"/>
      <c r="C379" s="23"/>
      <c r="D379" s="23"/>
      <c r="E379" s="23"/>
      <c r="F379" s="23"/>
    </row>
    <row r="380" spans="1:6" ht="16.5">
      <c r="A380" s="23"/>
      <c r="B380" s="23"/>
      <c r="C380" s="23"/>
      <c r="D380" s="23"/>
      <c r="E380" s="23"/>
      <c r="F380" s="23"/>
    </row>
    <row r="381" spans="1:6" ht="16.5">
      <c r="A381" s="23"/>
      <c r="B381" s="23"/>
      <c r="C381" s="23"/>
      <c r="D381" s="23"/>
      <c r="E381" s="23"/>
      <c r="F381" s="23"/>
    </row>
    <row r="382" spans="1:6" ht="16.5">
      <c r="A382" s="23"/>
      <c r="B382" s="23"/>
      <c r="C382" s="23"/>
      <c r="D382" s="23"/>
      <c r="E382" s="23"/>
      <c r="F382" s="23"/>
    </row>
    <row r="383" spans="1:6" ht="16.5">
      <c r="A383" s="23"/>
      <c r="B383" s="23"/>
      <c r="C383" s="23"/>
      <c r="D383" s="23"/>
      <c r="E383" s="23"/>
      <c r="F383" s="23"/>
    </row>
    <row r="384" spans="1:6" ht="16.5">
      <c r="A384" s="23"/>
      <c r="B384" s="23"/>
      <c r="C384" s="23"/>
      <c r="D384" s="23"/>
      <c r="E384" s="23"/>
      <c r="F384" s="23"/>
    </row>
    <row r="385" spans="1:6" ht="16.5">
      <c r="A385" s="23"/>
      <c r="B385" s="23"/>
      <c r="C385" s="23"/>
      <c r="D385" s="23"/>
      <c r="E385" s="23"/>
      <c r="F385" s="23"/>
    </row>
    <row r="386" spans="1:6" ht="16.5">
      <c r="A386" s="23"/>
      <c r="B386" s="23"/>
      <c r="C386" s="23"/>
      <c r="D386" s="23"/>
      <c r="E386" s="23"/>
      <c r="F386" s="23"/>
    </row>
    <row r="387" spans="1:6" ht="16.5">
      <c r="A387" s="23"/>
      <c r="B387" s="23"/>
      <c r="C387" s="23"/>
      <c r="D387" s="23"/>
      <c r="E387" s="23"/>
      <c r="F387" s="23"/>
    </row>
    <row r="388" spans="1:6" ht="16.5">
      <c r="A388" s="23"/>
      <c r="B388" s="23"/>
      <c r="C388" s="23"/>
      <c r="D388" s="23"/>
      <c r="E388" s="23"/>
      <c r="F388" s="23"/>
    </row>
    <row r="389" spans="1:6" ht="16.5">
      <c r="A389" s="23"/>
      <c r="B389" s="23"/>
      <c r="C389" s="23"/>
      <c r="D389" s="23"/>
      <c r="E389" s="23"/>
      <c r="F389" s="23"/>
    </row>
    <row r="390" spans="1:6" ht="16.5">
      <c r="A390" s="23"/>
      <c r="B390" s="23"/>
      <c r="C390" s="23"/>
      <c r="D390" s="23"/>
      <c r="E390" s="23"/>
      <c r="F390" s="23"/>
    </row>
    <row r="391" spans="1:6" ht="16.5">
      <c r="A391" s="23"/>
      <c r="B391" s="23"/>
      <c r="C391" s="23"/>
      <c r="D391" s="23"/>
      <c r="E391" s="23"/>
      <c r="F391" s="23"/>
    </row>
    <row r="392" spans="1:6" ht="16.5">
      <c r="A392" s="23"/>
      <c r="B392" s="23"/>
      <c r="C392" s="23"/>
      <c r="D392" s="23"/>
      <c r="E392" s="23"/>
      <c r="F392" s="23"/>
    </row>
    <row r="393" spans="1:6" ht="16.5">
      <c r="A393" s="23"/>
      <c r="B393" s="23"/>
      <c r="C393" s="23"/>
      <c r="D393" s="23"/>
      <c r="E393" s="23"/>
      <c r="F393" s="23"/>
    </row>
    <row r="394" spans="1:6" ht="16.5">
      <c r="A394" s="23"/>
      <c r="B394" s="23"/>
      <c r="C394" s="23"/>
      <c r="D394" s="23"/>
      <c r="E394" s="23"/>
      <c r="F394" s="23"/>
    </row>
    <row r="395" spans="1:6" ht="16.5">
      <c r="A395" s="23"/>
      <c r="B395" s="23"/>
      <c r="C395" s="23"/>
      <c r="D395" s="23"/>
      <c r="E395" s="23"/>
      <c r="F395" s="23"/>
    </row>
    <row r="396" spans="1:6" ht="16.5">
      <c r="A396" s="23"/>
      <c r="B396" s="23"/>
      <c r="C396" s="23"/>
      <c r="D396" s="23"/>
      <c r="E396" s="23"/>
      <c r="F396" s="23"/>
    </row>
    <row r="397" spans="1:6" ht="16.5">
      <c r="A397" s="23"/>
      <c r="B397" s="23"/>
      <c r="C397" s="23"/>
      <c r="D397" s="23"/>
      <c r="E397" s="23"/>
      <c r="F397" s="23"/>
    </row>
    <row r="398" spans="1:6" ht="16.5">
      <c r="A398" s="23"/>
      <c r="B398" s="23"/>
      <c r="C398" s="23"/>
      <c r="D398" s="23"/>
      <c r="E398" s="23"/>
      <c r="F398" s="23"/>
    </row>
    <row r="399" spans="1:6" ht="16.5">
      <c r="A399" s="23"/>
      <c r="B399" s="23"/>
      <c r="C399" s="23"/>
      <c r="D399" s="23"/>
      <c r="E399" s="23"/>
      <c r="F399" s="23"/>
    </row>
    <row r="400" spans="1:6" ht="16.5">
      <c r="A400" s="23"/>
      <c r="B400" s="23"/>
      <c r="C400" s="23"/>
      <c r="D400" s="23"/>
      <c r="E400" s="23"/>
      <c r="F400" s="23"/>
    </row>
    <row r="401" spans="1:6" ht="16.5">
      <c r="A401" s="23"/>
      <c r="B401" s="23"/>
      <c r="C401" s="23"/>
      <c r="D401" s="23"/>
      <c r="E401" s="23"/>
      <c r="F401" s="23"/>
    </row>
    <row r="402" spans="1:6" ht="16.5">
      <c r="A402" s="23"/>
      <c r="B402" s="23"/>
      <c r="C402" s="23"/>
      <c r="D402" s="23"/>
      <c r="E402" s="23"/>
      <c r="F402" s="23"/>
    </row>
    <row r="403" spans="1:6" ht="16.5">
      <c r="A403" s="23"/>
      <c r="B403" s="23"/>
      <c r="C403" s="23"/>
      <c r="D403" s="23"/>
      <c r="E403" s="23"/>
      <c r="F403" s="23"/>
    </row>
    <row r="404" spans="1:6" ht="16.5">
      <c r="A404" s="23"/>
      <c r="B404" s="23"/>
      <c r="C404" s="23"/>
      <c r="D404" s="23"/>
      <c r="E404" s="23"/>
      <c r="F404" s="23"/>
    </row>
    <row r="405" spans="1:6" ht="16.5">
      <c r="A405" s="23"/>
      <c r="B405" s="23"/>
      <c r="C405" s="23"/>
      <c r="D405" s="23"/>
      <c r="E405" s="23"/>
      <c r="F405" s="23"/>
    </row>
    <row r="406" spans="1:6" ht="16.5">
      <c r="A406" s="23"/>
      <c r="B406" s="23"/>
      <c r="C406" s="23"/>
      <c r="D406" s="23"/>
      <c r="E406" s="23"/>
      <c r="F406" s="23"/>
    </row>
    <row r="407" spans="1:6" ht="16.5">
      <c r="A407" s="23"/>
      <c r="B407" s="23"/>
      <c r="C407" s="23"/>
      <c r="D407" s="23"/>
      <c r="E407" s="23"/>
      <c r="F407" s="23"/>
    </row>
    <row r="408" spans="1:6" ht="16.5">
      <c r="A408" s="23"/>
      <c r="B408" s="23"/>
      <c r="C408" s="23"/>
      <c r="D408" s="23"/>
      <c r="E408" s="23"/>
      <c r="F408" s="23"/>
    </row>
    <row r="409" spans="1:6" ht="16.5">
      <c r="A409" s="23"/>
      <c r="B409" s="23"/>
      <c r="C409" s="23"/>
      <c r="D409" s="23"/>
      <c r="E409" s="23"/>
      <c r="F409" s="23"/>
    </row>
    <row r="410" spans="1:6" ht="16.5">
      <c r="A410" s="23"/>
      <c r="B410" s="23"/>
      <c r="C410" s="23"/>
      <c r="D410" s="23"/>
      <c r="E410" s="23"/>
      <c r="F410" s="23"/>
    </row>
    <row r="411" spans="1:6" ht="16.5">
      <c r="A411" s="23"/>
      <c r="B411" s="23"/>
      <c r="C411" s="23"/>
      <c r="D411" s="23"/>
      <c r="E411" s="23"/>
      <c r="F411" s="23"/>
    </row>
    <row r="412" spans="1:6" ht="16.5">
      <c r="A412" s="23"/>
      <c r="B412" s="23"/>
      <c r="C412" s="23"/>
      <c r="D412" s="23"/>
      <c r="E412" s="23"/>
      <c r="F412" s="23"/>
    </row>
    <row r="413" spans="1:6" ht="16.5">
      <c r="A413" s="23"/>
      <c r="B413" s="23"/>
      <c r="C413" s="23"/>
      <c r="D413" s="23"/>
      <c r="E413" s="23"/>
      <c r="F413" s="23"/>
    </row>
    <row r="414" spans="1:6" ht="16.5">
      <c r="A414" s="23"/>
      <c r="B414" s="23"/>
      <c r="C414" s="23"/>
      <c r="D414" s="23"/>
      <c r="E414" s="23"/>
      <c r="F414" s="23"/>
    </row>
    <row r="415" spans="1:6" ht="16.5">
      <c r="A415" s="23"/>
      <c r="B415" s="23"/>
      <c r="C415" s="23"/>
      <c r="D415" s="23"/>
      <c r="E415" s="23"/>
      <c r="F415" s="23"/>
    </row>
    <row r="416" spans="1:6" ht="16.5">
      <c r="A416" s="23"/>
      <c r="B416" s="23"/>
      <c r="C416" s="23"/>
      <c r="D416" s="23"/>
      <c r="E416" s="23"/>
      <c r="F416" s="23"/>
    </row>
    <row r="417" spans="1:6" ht="16.5">
      <c r="A417" s="23"/>
      <c r="B417" s="23"/>
      <c r="C417" s="23"/>
      <c r="D417" s="23"/>
      <c r="E417" s="23"/>
      <c r="F417" s="23"/>
    </row>
    <row r="418" spans="1:6" ht="16.5">
      <c r="A418" s="23"/>
      <c r="B418" s="23"/>
      <c r="C418" s="23"/>
      <c r="D418" s="23"/>
      <c r="E418" s="23"/>
      <c r="F418" s="23"/>
    </row>
    <row r="419" spans="1:6" ht="16.5">
      <c r="A419" s="23"/>
      <c r="B419" s="23"/>
      <c r="C419" s="23"/>
      <c r="D419" s="23"/>
      <c r="E419" s="23"/>
      <c r="F419" s="23"/>
    </row>
    <row r="420" spans="1:6" ht="16.5">
      <c r="A420" s="23"/>
      <c r="B420" s="23"/>
      <c r="C420" s="23"/>
      <c r="D420" s="23"/>
      <c r="E420" s="23"/>
      <c r="F420" s="23"/>
    </row>
    <row r="421" spans="1:6" ht="16.5">
      <c r="A421" s="23"/>
      <c r="B421" s="23"/>
      <c r="C421" s="23"/>
      <c r="D421" s="23"/>
      <c r="E421" s="23"/>
      <c r="F421" s="23"/>
    </row>
    <row r="422" spans="1:6" ht="16.5">
      <c r="A422" s="23"/>
      <c r="B422" s="23"/>
      <c r="C422" s="23"/>
      <c r="D422" s="23"/>
      <c r="E422" s="23"/>
      <c r="F422" s="23"/>
    </row>
    <row r="423" spans="1:6" ht="16.5">
      <c r="A423" s="23"/>
      <c r="B423" s="23"/>
      <c r="C423" s="23"/>
      <c r="D423" s="23"/>
      <c r="E423" s="23"/>
      <c r="F423" s="23"/>
    </row>
    <row r="424" spans="1:6" ht="16.5">
      <c r="A424" s="23"/>
      <c r="B424" s="23"/>
      <c r="C424" s="23"/>
      <c r="D424" s="23"/>
      <c r="E424" s="23"/>
      <c r="F424" s="23"/>
    </row>
    <row r="425" spans="1:6" ht="16.5">
      <c r="A425" s="23"/>
      <c r="B425" s="23"/>
      <c r="C425" s="23"/>
      <c r="D425" s="23"/>
      <c r="E425" s="23"/>
      <c r="F425" s="23"/>
    </row>
    <row r="426" spans="1:6" ht="16.5">
      <c r="A426" s="23"/>
      <c r="B426" s="23"/>
      <c r="C426" s="23"/>
      <c r="D426" s="23"/>
      <c r="E426" s="23"/>
      <c r="F426" s="23"/>
    </row>
    <row r="427" spans="1:6" ht="16.5">
      <c r="A427" s="23"/>
      <c r="B427" s="23"/>
      <c r="C427" s="23"/>
      <c r="D427" s="23"/>
      <c r="E427" s="23"/>
      <c r="F427" s="23"/>
    </row>
    <row r="428" spans="1:6" ht="16.5">
      <c r="A428" s="23"/>
      <c r="B428" s="23"/>
      <c r="C428" s="23"/>
      <c r="D428" s="23"/>
      <c r="E428" s="23"/>
      <c r="F428" s="23"/>
    </row>
    <row r="429" spans="1:6" ht="16.5">
      <c r="A429" s="23"/>
      <c r="B429" s="23"/>
      <c r="C429" s="23"/>
      <c r="D429" s="23"/>
      <c r="E429" s="23"/>
      <c r="F429" s="23"/>
    </row>
    <row r="430" spans="1:6" ht="16.5">
      <c r="A430" s="23"/>
      <c r="B430" s="23"/>
      <c r="C430" s="23"/>
      <c r="D430" s="23"/>
      <c r="E430" s="23"/>
      <c r="F430" s="23"/>
    </row>
    <row r="431" spans="1:6" ht="16.5">
      <c r="A431" s="23"/>
      <c r="B431" s="23"/>
      <c r="C431" s="23"/>
      <c r="D431" s="23"/>
      <c r="E431" s="23"/>
      <c r="F431" s="23"/>
    </row>
    <row r="432" spans="1:6" ht="16.5">
      <c r="A432" s="23"/>
      <c r="B432" s="23"/>
      <c r="C432" s="23"/>
      <c r="D432" s="23"/>
      <c r="E432" s="23"/>
      <c r="F432" s="23"/>
    </row>
    <row r="433" spans="1:6" ht="16.5">
      <c r="A433" s="23"/>
      <c r="B433" s="23"/>
      <c r="C433" s="23"/>
      <c r="D433" s="23"/>
      <c r="E433" s="23"/>
      <c r="F433" s="23"/>
    </row>
    <row r="434" spans="1:6" ht="16.5">
      <c r="A434" s="23"/>
      <c r="B434" s="23"/>
      <c r="C434" s="23"/>
      <c r="D434" s="23"/>
      <c r="E434" s="23"/>
      <c r="F434" s="23"/>
    </row>
    <row r="435" spans="1:6" ht="16.5">
      <c r="A435" s="23"/>
      <c r="B435" s="23"/>
      <c r="C435" s="23"/>
      <c r="D435" s="23"/>
      <c r="E435" s="23"/>
      <c r="F435" s="23"/>
    </row>
    <row r="436" spans="1:6" ht="16.5">
      <c r="A436" s="23"/>
      <c r="B436" s="23"/>
      <c r="C436" s="23"/>
      <c r="D436" s="23"/>
      <c r="E436" s="23"/>
      <c r="F436" s="23"/>
    </row>
    <row r="437" spans="1:6" ht="16.5">
      <c r="A437" s="23"/>
      <c r="B437" s="23"/>
      <c r="C437" s="23"/>
      <c r="D437" s="23"/>
      <c r="E437" s="23"/>
      <c r="F437" s="23"/>
    </row>
    <row r="438" spans="1:6" ht="16.5">
      <c r="A438" s="23"/>
      <c r="B438" s="23"/>
      <c r="C438" s="23"/>
      <c r="D438" s="23"/>
      <c r="E438" s="23"/>
      <c r="F438" s="23"/>
    </row>
    <row r="439" spans="1:6" ht="16.5">
      <c r="A439" s="23"/>
      <c r="B439" s="23"/>
      <c r="C439" s="23"/>
      <c r="D439" s="23"/>
      <c r="E439" s="23"/>
      <c r="F439" s="23"/>
    </row>
    <row r="440" spans="1:6" ht="16.5">
      <c r="A440" s="23"/>
      <c r="B440" s="23"/>
      <c r="C440" s="23"/>
      <c r="D440" s="23"/>
      <c r="E440" s="23"/>
      <c r="F440" s="23"/>
    </row>
    <row r="441" spans="1:6" ht="16.5">
      <c r="A441" s="23"/>
      <c r="B441" s="23"/>
      <c r="C441" s="23"/>
      <c r="D441" s="23"/>
      <c r="E441" s="23"/>
      <c r="F441" s="23"/>
    </row>
    <row r="442" spans="1:6" ht="16.5">
      <c r="A442" s="23"/>
      <c r="B442" s="23"/>
      <c r="C442" s="23"/>
      <c r="D442" s="23"/>
      <c r="E442" s="23"/>
      <c r="F442" s="23"/>
    </row>
    <row r="443" spans="1:6" ht="16.5">
      <c r="A443" s="23"/>
      <c r="B443" s="23"/>
      <c r="C443" s="23"/>
      <c r="D443" s="23"/>
      <c r="E443" s="23"/>
      <c r="F443" s="23"/>
    </row>
    <row r="444" spans="1:6" ht="16.5">
      <c r="A444" s="23"/>
      <c r="B444" s="23"/>
      <c r="C444" s="23"/>
      <c r="D444" s="23"/>
      <c r="E444" s="23"/>
      <c r="F444" s="23"/>
    </row>
    <row r="445" spans="1:6" ht="16.5">
      <c r="A445" s="23"/>
      <c r="B445" s="23"/>
      <c r="C445" s="23"/>
      <c r="D445" s="23"/>
      <c r="E445" s="23"/>
      <c r="F445" s="23"/>
    </row>
    <row r="446" spans="1:6" ht="16.5">
      <c r="A446" s="23"/>
      <c r="B446" s="23"/>
      <c r="C446" s="23"/>
      <c r="D446" s="23"/>
      <c r="E446" s="23"/>
      <c r="F446" s="23"/>
    </row>
    <row r="447" spans="1:6" ht="16.5">
      <c r="A447" s="23"/>
      <c r="B447" s="23"/>
      <c r="C447" s="23"/>
      <c r="D447" s="23"/>
      <c r="E447" s="23"/>
      <c r="F447" s="23"/>
    </row>
    <row r="448" spans="1:6" ht="16.5">
      <c r="A448" s="23"/>
      <c r="B448" s="23"/>
      <c r="C448" s="23"/>
      <c r="D448" s="23"/>
      <c r="E448" s="23"/>
      <c r="F448" s="23"/>
    </row>
    <row r="449" spans="1:6" ht="16.5">
      <c r="A449" s="23"/>
      <c r="B449" s="23"/>
      <c r="C449" s="23"/>
      <c r="D449" s="23"/>
      <c r="E449" s="23"/>
      <c r="F449" s="23"/>
    </row>
    <row r="450" spans="1:6" ht="16.5">
      <c r="A450" s="23"/>
      <c r="B450" s="23"/>
      <c r="C450" s="23"/>
      <c r="D450" s="23"/>
      <c r="E450" s="23"/>
      <c r="F450" s="23"/>
    </row>
    <row r="451" spans="1:6" ht="16.5">
      <c r="A451" s="23"/>
      <c r="B451" s="23"/>
      <c r="C451" s="23"/>
      <c r="D451" s="23"/>
      <c r="E451" s="23"/>
      <c r="F451" s="23"/>
    </row>
    <row r="452" spans="1:6" ht="16.5">
      <c r="A452" s="23"/>
      <c r="B452" s="23"/>
      <c r="C452" s="23"/>
      <c r="D452" s="23"/>
      <c r="E452" s="23"/>
      <c r="F452" s="23"/>
    </row>
    <row r="453" spans="1:6" ht="16.5">
      <c r="A453" s="23"/>
      <c r="B453" s="23"/>
      <c r="C453" s="23"/>
      <c r="D453" s="23"/>
      <c r="E453" s="23"/>
      <c r="F453" s="23"/>
    </row>
    <row r="454" spans="1:6" ht="16.5">
      <c r="A454" s="23"/>
      <c r="B454" s="23"/>
      <c r="C454" s="23"/>
      <c r="D454" s="23"/>
      <c r="E454" s="23"/>
      <c r="F454" s="23"/>
    </row>
    <row r="455" spans="1:6" ht="16.5">
      <c r="A455" s="23"/>
      <c r="B455" s="23"/>
      <c r="C455" s="23"/>
      <c r="D455" s="23"/>
      <c r="E455" s="23"/>
      <c r="F455" s="23"/>
    </row>
    <row r="456" spans="1:6" ht="16.5">
      <c r="A456" s="23"/>
      <c r="B456" s="23"/>
      <c r="C456" s="23"/>
      <c r="D456" s="23"/>
      <c r="E456" s="23"/>
      <c r="F456" s="23"/>
    </row>
    <row r="457" spans="1:6" ht="16.5">
      <c r="A457" s="23"/>
      <c r="B457" s="23"/>
      <c r="C457" s="23"/>
      <c r="D457" s="23"/>
      <c r="E457" s="23"/>
      <c r="F457" s="23"/>
    </row>
    <row r="458" spans="1:6" ht="16.5">
      <c r="A458" s="23"/>
      <c r="B458" s="23"/>
      <c r="C458" s="23"/>
      <c r="D458" s="23"/>
      <c r="E458" s="23"/>
      <c r="F458" s="23"/>
    </row>
    <row r="459" spans="1:6" ht="16.5">
      <c r="A459" s="23"/>
      <c r="B459" s="23"/>
      <c r="C459" s="23"/>
      <c r="D459" s="23"/>
      <c r="E459" s="23"/>
      <c r="F459" s="23"/>
    </row>
    <row r="460" spans="1:6" ht="16.5">
      <c r="A460" s="23"/>
      <c r="B460" s="23"/>
      <c r="C460" s="23"/>
      <c r="D460" s="23"/>
      <c r="E460" s="23"/>
      <c r="F460" s="23"/>
    </row>
    <row r="461" spans="1:6" ht="16.5">
      <c r="A461" s="23"/>
      <c r="B461" s="23"/>
      <c r="C461" s="23"/>
      <c r="D461" s="23"/>
      <c r="E461" s="23"/>
      <c r="F461" s="23"/>
    </row>
    <row r="462" spans="1:6" ht="16.5">
      <c r="A462" s="23"/>
      <c r="B462" s="23"/>
      <c r="C462" s="23"/>
      <c r="D462" s="23"/>
      <c r="E462" s="23"/>
      <c r="F462" s="23"/>
    </row>
    <row r="463" spans="1:6" ht="16.5">
      <c r="A463" s="23"/>
      <c r="B463" s="23"/>
      <c r="C463" s="23"/>
      <c r="D463" s="23"/>
      <c r="E463" s="23"/>
      <c r="F463" s="23"/>
    </row>
    <row r="464" spans="1:6" ht="16.5">
      <c r="A464" s="23"/>
      <c r="B464" s="23"/>
      <c r="C464" s="23"/>
      <c r="D464" s="23"/>
      <c r="E464" s="23"/>
      <c r="F464" s="23"/>
    </row>
    <row r="465" spans="1:6" ht="16.5">
      <c r="A465" s="23"/>
      <c r="B465" s="23"/>
      <c r="C465" s="23"/>
      <c r="D465" s="23"/>
      <c r="E465" s="23"/>
      <c r="F465" s="23"/>
    </row>
    <row r="466" spans="1:6" ht="16.5">
      <c r="A466" s="23"/>
      <c r="B466" s="23"/>
      <c r="C466" s="23"/>
      <c r="D466" s="23"/>
      <c r="E466" s="23"/>
      <c r="F466" s="23"/>
    </row>
    <row r="467" spans="1:6" ht="16.5">
      <c r="A467" s="23"/>
      <c r="B467" s="23"/>
      <c r="C467" s="23"/>
      <c r="D467" s="23"/>
      <c r="E467" s="23"/>
      <c r="F467" s="23"/>
    </row>
    <row r="468" spans="1:6" ht="16.5">
      <c r="A468" s="23"/>
      <c r="B468" s="23"/>
      <c r="C468" s="23"/>
      <c r="D468" s="23"/>
      <c r="E468" s="23"/>
      <c r="F468" s="23"/>
    </row>
    <row r="469" spans="1:6" ht="16.5">
      <c r="A469" s="23"/>
      <c r="B469" s="23"/>
      <c r="C469" s="23"/>
      <c r="D469" s="23"/>
      <c r="E469" s="23"/>
      <c r="F469" s="23"/>
    </row>
    <row r="470" spans="1:6" ht="16.5">
      <c r="A470" s="23"/>
      <c r="B470" s="23"/>
      <c r="C470" s="23"/>
      <c r="D470" s="23"/>
      <c r="E470" s="23"/>
      <c r="F470" s="23"/>
    </row>
    <row r="471" spans="1:6" ht="16.5">
      <c r="A471" s="23"/>
      <c r="B471" s="23"/>
      <c r="C471" s="23"/>
      <c r="D471" s="23"/>
      <c r="E471" s="23"/>
      <c r="F471" s="23"/>
    </row>
    <row r="472" spans="1:6" ht="16.5">
      <c r="A472" s="23"/>
      <c r="B472" s="23"/>
      <c r="C472" s="23"/>
      <c r="D472" s="23"/>
      <c r="E472" s="23"/>
      <c r="F472" s="23"/>
    </row>
    <row r="473" spans="1:6" ht="16.5">
      <c r="A473" s="23"/>
      <c r="B473" s="23"/>
      <c r="C473" s="23"/>
      <c r="D473" s="23"/>
      <c r="E473" s="23"/>
      <c r="F473" s="23"/>
    </row>
    <row r="474" spans="1:6" ht="16.5">
      <c r="A474" s="23"/>
      <c r="B474" s="23"/>
      <c r="C474" s="23"/>
      <c r="D474" s="23"/>
      <c r="E474" s="23"/>
      <c r="F474" s="23"/>
    </row>
    <row r="475" spans="1:6" ht="16.5">
      <c r="A475" s="23"/>
      <c r="B475" s="23"/>
      <c r="C475" s="23"/>
      <c r="D475" s="23"/>
      <c r="E475" s="23"/>
      <c r="F475" s="23"/>
    </row>
    <row r="476" spans="1:6" ht="16.5">
      <c r="A476" s="23"/>
      <c r="B476" s="23"/>
      <c r="C476" s="23"/>
      <c r="D476" s="23"/>
      <c r="E476" s="23"/>
      <c r="F476" s="23"/>
    </row>
    <row r="477" spans="1:6" ht="16.5">
      <c r="A477" s="23"/>
      <c r="B477" s="23"/>
      <c r="C477" s="23"/>
      <c r="D477" s="23"/>
      <c r="E477" s="23"/>
      <c r="F477" s="23"/>
    </row>
    <row r="478" spans="1:6" ht="16.5">
      <c r="A478" s="23"/>
      <c r="B478" s="23"/>
      <c r="C478" s="23"/>
      <c r="D478" s="23"/>
      <c r="E478" s="23"/>
      <c r="F478" s="23"/>
    </row>
    <row r="479" spans="1:6" ht="16.5">
      <c r="A479" s="23"/>
      <c r="B479" s="23"/>
      <c r="C479" s="23"/>
      <c r="D479" s="23"/>
      <c r="E479" s="23"/>
      <c r="F479" s="23"/>
    </row>
    <row r="480" spans="1:6" ht="16.5">
      <c r="A480" s="23"/>
      <c r="B480" s="23"/>
      <c r="C480" s="23"/>
      <c r="D480" s="23"/>
      <c r="E480" s="23"/>
      <c r="F480" s="23"/>
    </row>
    <row r="481" spans="1:6" ht="16.5">
      <c r="A481" s="23"/>
      <c r="B481" s="23"/>
      <c r="C481" s="23"/>
      <c r="D481" s="23"/>
      <c r="E481" s="23"/>
      <c r="F481" s="23"/>
    </row>
    <row r="482" spans="1:6" ht="16.5">
      <c r="A482" s="23"/>
      <c r="B482" s="23"/>
      <c r="C482" s="23"/>
      <c r="D482" s="23"/>
      <c r="E482" s="23"/>
      <c r="F482" s="23"/>
    </row>
    <row r="483" spans="1:6" ht="16.5">
      <c r="A483" s="23"/>
      <c r="B483" s="23"/>
      <c r="C483" s="23"/>
      <c r="D483" s="23"/>
      <c r="E483" s="23"/>
      <c r="F483" s="23"/>
    </row>
    <row r="484" spans="1:6" ht="16.5">
      <c r="A484" s="23"/>
      <c r="B484" s="23"/>
      <c r="C484" s="23"/>
      <c r="D484" s="23"/>
      <c r="E484" s="23"/>
      <c r="F484" s="23"/>
    </row>
    <row r="485" spans="1:6" ht="16.5">
      <c r="A485" s="23"/>
      <c r="B485" s="23"/>
      <c r="C485" s="23"/>
      <c r="D485" s="23"/>
      <c r="E485" s="23"/>
      <c r="F485" s="23"/>
    </row>
    <row r="486" spans="1:6" ht="16.5">
      <c r="A486" s="23"/>
      <c r="B486" s="23"/>
      <c r="C486" s="23"/>
      <c r="D486" s="23"/>
      <c r="E486" s="23"/>
      <c r="F486" s="23"/>
    </row>
    <row r="487" spans="1:6" ht="16.5">
      <c r="A487" s="23"/>
      <c r="B487" s="23"/>
      <c r="C487" s="23"/>
      <c r="D487" s="23"/>
      <c r="E487" s="23"/>
      <c r="F487" s="23"/>
    </row>
    <row r="488" spans="1:6" ht="16.5">
      <c r="A488" s="23"/>
      <c r="B488" s="23"/>
      <c r="C488" s="23"/>
      <c r="D488" s="23"/>
      <c r="E488" s="23"/>
      <c r="F488" s="23"/>
    </row>
    <row r="489" spans="1:6" ht="16.5">
      <c r="A489" s="23"/>
      <c r="B489" s="23"/>
      <c r="C489" s="23"/>
      <c r="D489" s="23"/>
      <c r="E489" s="23"/>
      <c r="F489" s="23"/>
    </row>
    <row r="490" spans="1:6" ht="16.5">
      <c r="A490" s="23"/>
      <c r="B490" s="23"/>
      <c r="C490" s="23"/>
      <c r="D490" s="23"/>
      <c r="E490" s="23"/>
      <c r="F490" s="23"/>
    </row>
    <row r="491" spans="1:6" ht="16.5">
      <c r="A491" s="23"/>
      <c r="B491" s="23"/>
      <c r="C491" s="23"/>
      <c r="D491" s="23"/>
      <c r="E491" s="23"/>
      <c r="F491" s="23"/>
    </row>
    <row r="492" spans="1:6" ht="16.5">
      <c r="A492" s="23"/>
      <c r="B492" s="23"/>
      <c r="C492" s="23"/>
      <c r="D492" s="23"/>
      <c r="E492" s="23"/>
      <c r="F492" s="23"/>
    </row>
    <row r="493" spans="1:6" ht="16.5">
      <c r="A493" s="23"/>
      <c r="B493" s="23"/>
      <c r="C493" s="23"/>
      <c r="D493" s="23"/>
      <c r="E493" s="23"/>
      <c r="F493" s="23"/>
    </row>
    <row r="494" spans="1:6" ht="16.5">
      <c r="A494" s="23"/>
      <c r="B494" s="23"/>
      <c r="C494" s="23"/>
      <c r="D494" s="23"/>
      <c r="E494" s="23"/>
      <c r="F494" s="23"/>
    </row>
    <row r="495" spans="1:6" ht="16.5">
      <c r="A495" s="23"/>
      <c r="B495" s="23"/>
      <c r="C495" s="23"/>
      <c r="D495" s="23"/>
      <c r="E495" s="23"/>
      <c r="F495" s="23"/>
    </row>
    <row r="496" spans="1:6" ht="16.5">
      <c r="A496" s="23"/>
      <c r="B496" s="23"/>
      <c r="C496" s="23"/>
      <c r="D496" s="23"/>
      <c r="E496" s="23"/>
      <c r="F496" s="23"/>
    </row>
    <row r="497" spans="1:6" ht="16.5">
      <c r="A497" s="23"/>
      <c r="B497" s="23"/>
      <c r="C497" s="23"/>
      <c r="D497" s="23"/>
      <c r="E497" s="23"/>
      <c r="F497" s="23"/>
    </row>
    <row r="498" spans="1:6" ht="16.5">
      <c r="A498" s="23"/>
      <c r="B498" s="23"/>
      <c r="C498" s="23"/>
      <c r="D498" s="23"/>
      <c r="E498" s="23"/>
      <c r="F498" s="23"/>
    </row>
    <row r="499" spans="1:6" ht="16.5">
      <c r="A499" s="23"/>
      <c r="B499" s="23"/>
      <c r="C499" s="23"/>
      <c r="D499" s="23"/>
      <c r="E499" s="23"/>
      <c r="F499" s="23"/>
    </row>
    <row r="500" spans="1:6" ht="16.5">
      <c r="A500" s="23"/>
      <c r="B500" s="23"/>
      <c r="C500" s="23"/>
      <c r="D500" s="23"/>
      <c r="E500" s="23"/>
      <c r="F500" s="23"/>
    </row>
    <row r="501" spans="1:6" ht="16.5">
      <c r="A501" s="23"/>
      <c r="B501" s="23"/>
      <c r="C501" s="23"/>
      <c r="D501" s="23"/>
      <c r="E501" s="23"/>
      <c r="F501" s="23"/>
    </row>
    <row r="502" spans="1:6" ht="16.5">
      <c r="A502" s="23"/>
      <c r="B502" s="23"/>
      <c r="C502" s="23"/>
      <c r="D502" s="23"/>
      <c r="E502" s="23"/>
      <c r="F502" s="23"/>
    </row>
    <row r="503" spans="1:6" ht="16.5">
      <c r="A503" s="23"/>
      <c r="B503" s="23"/>
      <c r="C503" s="23"/>
      <c r="D503" s="23"/>
      <c r="E503" s="23"/>
      <c r="F503" s="23"/>
    </row>
    <row r="504" spans="1:6" ht="16.5">
      <c r="A504" s="23"/>
      <c r="B504" s="23"/>
      <c r="C504" s="23"/>
      <c r="D504" s="23"/>
      <c r="E504" s="23"/>
      <c r="F504" s="23"/>
    </row>
    <row r="505" spans="1:6" ht="16.5">
      <c r="A505" s="23"/>
      <c r="B505" s="23"/>
      <c r="C505" s="23"/>
      <c r="D505" s="23"/>
      <c r="E505" s="23"/>
      <c r="F505" s="23"/>
    </row>
    <row r="506" spans="1:6" ht="16.5">
      <c r="A506" s="23"/>
      <c r="B506" s="23"/>
      <c r="C506" s="23"/>
      <c r="D506" s="23"/>
      <c r="E506" s="23"/>
      <c r="F506" s="23"/>
    </row>
    <row r="507" spans="1:6" ht="16.5">
      <c r="A507" s="23"/>
      <c r="B507" s="23"/>
      <c r="C507" s="23"/>
      <c r="D507" s="23"/>
      <c r="E507" s="23"/>
      <c r="F507" s="23"/>
    </row>
    <row r="508" spans="1:6" ht="16.5">
      <c r="A508" s="23"/>
      <c r="B508" s="23"/>
      <c r="C508" s="23"/>
      <c r="D508" s="23"/>
      <c r="E508" s="23"/>
      <c r="F508" s="23"/>
    </row>
    <row r="509" spans="1:6" ht="16.5">
      <c r="A509" s="23"/>
      <c r="B509" s="23"/>
      <c r="C509" s="23"/>
      <c r="D509" s="23"/>
      <c r="E509" s="23"/>
      <c r="F509" s="23"/>
    </row>
    <row r="510" spans="1:6" ht="16.5">
      <c r="A510" s="23"/>
      <c r="B510" s="23"/>
      <c r="C510" s="23"/>
      <c r="D510" s="23"/>
      <c r="E510" s="23"/>
      <c r="F510" s="23"/>
    </row>
    <row r="511" spans="1:6" ht="16.5">
      <c r="A511" s="23"/>
      <c r="B511" s="23"/>
      <c r="C511" s="23"/>
      <c r="D511" s="23"/>
      <c r="E511" s="23"/>
      <c r="F511" s="23"/>
    </row>
    <row r="512" spans="1:6" ht="16.5">
      <c r="A512" s="23"/>
      <c r="B512" s="23"/>
      <c r="C512" s="23"/>
      <c r="D512" s="23"/>
      <c r="E512" s="23"/>
      <c r="F512" s="23"/>
    </row>
    <row r="513" spans="1:6" ht="16.5">
      <c r="A513" s="23"/>
      <c r="B513" s="23"/>
      <c r="C513" s="23"/>
      <c r="D513" s="23"/>
      <c r="E513" s="23"/>
      <c r="F513" s="23"/>
    </row>
    <row r="514" spans="1:6" ht="16.5">
      <c r="A514" s="23"/>
      <c r="B514" s="23"/>
      <c r="C514" s="23"/>
      <c r="D514" s="23"/>
      <c r="E514" s="23"/>
      <c r="F514" s="23"/>
    </row>
    <row r="515" spans="1:6" ht="16.5">
      <c r="A515" s="23"/>
      <c r="B515" s="23"/>
      <c r="C515" s="23"/>
      <c r="D515" s="23"/>
      <c r="E515" s="23"/>
      <c r="F515" s="23"/>
    </row>
    <row r="516" spans="1:6" ht="16.5">
      <c r="A516" s="23"/>
      <c r="B516" s="23"/>
      <c r="C516" s="23"/>
      <c r="D516" s="23"/>
      <c r="E516" s="23"/>
      <c r="F516" s="23"/>
    </row>
    <row r="517" spans="1:6" ht="16.5">
      <c r="A517" s="23"/>
      <c r="B517" s="23"/>
      <c r="C517" s="23"/>
      <c r="D517" s="23"/>
      <c r="E517" s="23"/>
      <c r="F517" s="23"/>
    </row>
    <row r="518" spans="1:6" ht="16.5">
      <c r="A518" s="23"/>
      <c r="B518" s="23"/>
      <c r="C518" s="23"/>
      <c r="D518" s="23"/>
      <c r="E518" s="23"/>
      <c r="F518" s="23"/>
    </row>
    <row r="519" spans="1:6" ht="16.5">
      <c r="A519" s="23"/>
      <c r="B519" s="23"/>
      <c r="C519" s="23"/>
      <c r="D519" s="23"/>
      <c r="E519" s="23"/>
      <c r="F519" s="23"/>
    </row>
    <row r="520" spans="1:6" ht="16.5">
      <c r="A520" s="23"/>
      <c r="B520" s="23"/>
      <c r="C520" s="23"/>
      <c r="D520" s="23"/>
      <c r="E520" s="23"/>
      <c r="F520" s="23"/>
    </row>
    <row r="521" spans="1:6" ht="16.5">
      <c r="A521" s="23"/>
      <c r="B521" s="23"/>
      <c r="C521" s="23"/>
      <c r="D521" s="23"/>
      <c r="E521" s="23"/>
      <c r="F521" s="23"/>
    </row>
    <row r="522" spans="1:6" ht="16.5">
      <c r="A522" s="23"/>
      <c r="B522" s="23"/>
      <c r="C522" s="23"/>
      <c r="D522" s="23"/>
      <c r="E522" s="23"/>
      <c r="F522" s="23"/>
    </row>
    <row r="523" spans="1:6" ht="16.5">
      <c r="A523" s="23"/>
      <c r="B523" s="23"/>
      <c r="C523" s="23"/>
      <c r="D523" s="23"/>
      <c r="E523" s="23"/>
      <c r="F523" s="23"/>
    </row>
    <row r="524" spans="1:6" ht="16.5">
      <c r="A524" s="23"/>
      <c r="B524" s="23"/>
      <c r="C524" s="23"/>
      <c r="D524" s="23"/>
      <c r="E524" s="23"/>
      <c r="F524" s="23"/>
    </row>
    <row r="525" spans="1:6" ht="16.5">
      <c r="A525" s="23"/>
      <c r="B525" s="23"/>
      <c r="C525" s="23"/>
      <c r="D525" s="23"/>
      <c r="E525" s="23"/>
      <c r="F525" s="23"/>
    </row>
    <row r="526" spans="1:6" ht="16.5">
      <c r="A526" s="23"/>
      <c r="B526" s="23"/>
      <c r="C526" s="23"/>
      <c r="D526" s="23"/>
      <c r="E526" s="23"/>
      <c r="F526" s="23"/>
    </row>
    <row r="527" spans="1:6" ht="16.5">
      <c r="A527" s="23"/>
      <c r="B527" s="23"/>
      <c r="C527" s="23"/>
      <c r="D527" s="23"/>
      <c r="E527" s="23"/>
      <c r="F527" s="23"/>
    </row>
    <row r="528" spans="1:6" ht="16.5">
      <c r="A528" s="23"/>
      <c r="B528" s="23"/>
      <c r="C528" s="23"/>
      <c r="D528" s="23"/>
      <c r="E528" s="23"/>
      <c r="F528" s="23"/>
    </row>
    <row r="529" spans="1:6" ht="16.5">
      <c r="A529" s="23"/>
      <c r="B529" s="23"/>
      <c r="C529" s="23"/>
      <c r="D529" s="23"/>
      <c r="E529" s="23"/>
      <c r="F529" s="23"/>
    </row>
    <row r="530" spans="1:6" ht="16.5">
      <c r="A530" s="23"/>
      <c r="B530" s="23"/>
      <c r="C530" s="23"/>
      <c r="D530" s="23"/>
      <c r="E530" s="23"/>
      <c r="F530" s="23"/>
    </row>
    <row r="531" spans="1:6" ht="16.5">
      <c r="A531" s="23"/>
      <c r="B531" s="23"/>
      <c r="C531" s="23"/>
      <c r="D531" s="23"/>
      <c r="E531" s="23"/>
      <c r="F531" s="23"/>
    </row>
    <row r="532" spans="1:6" ht="16.5">
      <c r="A532" s="23"/>
      <c r="B532" s="23"/>
      <c r="C532" s="23"/>
      <c r="D532" s="23"/>
      <c r="E532" s="23"/>
      <c r="F532" s="23"/>
    </row>
    <row r="533" spans="1:6" ht="16.5">
      <c r="A533" s="23"/>
      <c r="B533" s="23"/>
      <c r="C533" s="23"/>
      <c r="D533" s="23"/>
      <c r="E533" s="23"/>
      <c r="F533" s="23"/>
    </row>
    <row r="534" spans="1:6" ht="16.5">
      <c r="A534" s="23"/>
      <c r="B534" s="23"/>
      <c r="C534" s="23"/>
      <c r="D534" s="23"/>
      <c r="E534" s="23"/>
      <c r="F534" s="23"/>
    </row>
    <row r="535" spans="1:6" ht="16.5">
      <c r="A535" s="23"/>
      <c r="B535" s="23"/>
      <c r="C535" s="23"/>
      <c r="D535" s="23"/>
      <c r="E535" s="23"/>
      <c r="F535" s="23"/>
    </row>
    <row r="536" spans="1:6" ht="16.5">
      <c r="A536" s="23"/>
      <c r="B536" s="23"/>
      <c r="C536" s="23"/>
      <c r="D536" s="23"/>
      <c r="E536" s="23"/>
      <c r="F536" s="23"/>
    </row>
    <row r="537" spans="1:6" ht="16.5">
      <c r="A537" s="23"/>
      <c r="B537" s="23"/>
      <c r="C537" s="23"/>
      <c r="D537" s="23"/>
      <c r="E537" s="23"/>
      <c r="F537" s="23"/>
    </row>
    <row r="538" spans="1:6" ht="16.5">
      <c r="A538" s="23"/>
      <c r="B538" s="23"/>
      <c r="C538" s="23"/>
      <c r="D538" s="23"/>
      <c r="E538" s="23"/>
      <c r="F538" s="23"/>
    </row>
    <row r="539" spans="1:6" ht="16.5">
      <c r="A539" s="23"/>
      <c r="B539" s="23"/>
      <c r="C539" s="23"/>
      <c r="D539" s="23"/>
      <c r="E539" s="23"/>
      <c r="F539" s="23"/>
    </row>
    <row r="540" spans="1:6" ht="16.5">
      <c r="A540" s="23"/>
      <c r="B540" s="23"/>
      <c r="C540" s="23"/>
      <c r="D540" s="23"/>
      <c r="E540" s="23"/>
      <c r="F540" s="23"/>
    </row>
    <row r="541" spans="1:6" ht="16.5">
      <c r="A541" s="23"/>
      <c r="B541" s="23"/>
      <c r="C541" s="23"/>
      <c r="D541" s="23"/>
      <c r="E541" s="23"/>
      <c r="F541" s="23"/>
    </row>
    <row r="542" spans="1:6" ht="16.5">
      <c r="A542" s="23"/>
      <c r="B542" s="23"/>
      <c r="C542" s="23"/>
      <c r="D542" s="23"/>
      <c r="E542" s="23"/>
      <c r="F542" s="23"/>
    </row>
    <row r="543" spans="1:6" ht="16.5">
      <c r="A543" s="23"/>
      <c r="B543" s="23"/>
      <c r="C543" s="23"/>
      <c r="D543" s="23"/>
      <c r="E543" s="23"/>
      <c r="F543" s="23"/>
    </row>
    <row r="544" spans="1:6" ht="16.5">
      <c r="A544" s="23"/>
      <c r="B544" s="23"/>
      <c r="C544" s="23"/>
      <c r="D544" s="23"/>
      <c r="E544" s="23"/>
      <c r="F544" s="23"/>
    </row>
    <row r="545" spans="1:6" ht="16.5">
      <c r="A545" s="23"/>
      <c r="B545" s="23"/>
      <c r="C545" s="23"/>
      <c r="D545" s="23"/>
      <c r="E545" s="23"/>
      <c r="F545" s="23"/>
    </row>
    <row r="546" spans="1:6" ht="16.5">
      <c r="A546" s="23"/>
      <c r="B546" s="23"/>
      <c r="C546" s="23"/>
      <c r="D546" s="23"/>
      <c r="E546" s="23"/>
      <c r="F546" s="23"/>
    </row>
    <row r="547" spans="1:6" ht="16.5">
      <c r="A547" s="23"/>
      <c r="B547" s="23"/>
      <c r="C547" s="23"/>
      <c r="D547" s="23"/>
      <c r="E547" s="23"/>
      <c r="F547" s="23"/>
    </row>
    <row r="548" spans="1:6" ht="16.5">
      <c r="A548" s="23"/>
      <c r="B548" s="23"/>
      <c r="C548" s="23"/>
      <c r="D548" s="23"/>
      <c r="E548" s="23"/>
      <c r="F548" s="23"/>
    </row>
    <row r="549" spans="1:6" ht="16.5">
      <c r="A549" s="23"/>
      <c r="B549" s="23"/>
      <c r="C549" s="23"/>
      <c r="D549" s="23"/>
      <c r="E549" s="23"/>
      <c r="F549" s="23"/>
    </row>
    <row r="550" spans="1:6" ht="16.5">
      <c r="A550" s="23"/>
      <c r="B550" s="23"/>
      <c r="C550" s="23"/>
      <c r="D550" s="23"/>
      <c r="E550" s="23"/>
      <c r="F550" s="23"/>
    </row>
    <row r="551" spans="1:6" ht="16.5">
      <c r="A551" s="23"/>
      <c r="B551" s="23"/>
      <c r="C551" s="23"/>
      <c r="D551" s="23"/>
      <c r="E551" s="23"/>
      <c r="F551" s="23"/>
    </row>
    <row r="552" spans="1:6" ht="16.5">
      <c r="A552" s="23"/>
      <c r="B552" s="23"/>
      <c r="C552" s="23"/>
      <c r="D552" s="23"/>
      <c r="E552" s="23"/>
      <c r="F552" s="23"/>
    </row>
    <row r="553" spans="1:6" ht="16.5">
      <c r="A553" s="23"/>
      <c r="B553" s="23"/>
      <c r="C553" s="23"/>
      <c r="D553" s="23"/>
      <c r="E553" s="23"/>
      <c r="F553" s="23"/>
    </row>
    <row r="554" spans="1:6" ht="16.5">
      <c r="A554" s="23"/>
      <c r="B554" s="23"/>
      <c r="C554" s="23"/>
      <c r="D554" s="23"/>
      <c r="E554" s="23"/>
      <c r="F554" s="23"/>
    </row>
    <row r="555" spans="1:6" ht="16.5">
      <c r="A555" s="23"/>
      <c r="B555" s="23"/>
      <c r="C555" s="23"/>
      <c r="D555" s="23"/>
      <c r="E555" s="23"/>
      <c r="F555" s="23"/>
    </row>
    <row r="556" spans="1:6" ht="16.5">
      <c r="A556" s="23"/>
      <c r="B556" s="23"/>
      <c r="C556" s="23"/>
      <c r="D556" s="23"/>
      <c r="E556" s="23"/>
      <c r="F556" s="23"/>
    </row>
    <row r="557" spans="1:6" ht="16.5">
      <c r="A557" s="23"/>
      <c r="B557" s="23"/>
      <c r="C557" s="23"/>
      <c r="D557" s="23"/>
      <c r="E557" s="23"/>
      <c r="F557" s="23"/>
    </row>
    <row r="558" spans="1:6" ht="16.5">
      <c r="A558" s="23"/>
      <c r="B558" s="23"/>
      <c r="C558" s="23"/>
      <c r="D558" s="23"/>
      <c r="E558" s="23"/>
      <c r="F558" s="23"/>
    </row>
    <row r="559" spans="1:6" ht="16.5">
      <c r="A559" s="23"/>
      <c r="B559" s="23"/>
      <c r="C559" s="23"/>
      <c r="D559" s="23"/>
      <c r="E559" s="23"/>
      <c r="F559" s="23"/>
    </row>
    <row r="560" spans="1:6" ht="16.5">
      <c r="A560" s="23"/>
      <c r="B560" s="23"/>
      <c r="C560" s="23"/>
      <c r="D560" s="23"/>
      <c r="E560" s="23"/>
      <c r="F560" s="23"/>
    </row>
    <row r="561" spans="1:6" ht="16.5">
      <c r="A561" s="23"/>
      <c r="B561" s="23"/>
      <c r="C561" s="23"/>
      <c r="D561" s="23"/>
      <c r="E561" s="23"/>
      <c r="F561" s="23"/>
    </row>
    <row r="562" spans="1:6" ht="16.5">
      <c r="A562" s="23"/>
      <c r="B562" s="23"/>
      <c r="C562" s="23"/>
      <c r="D562" s="23"/>
      <c r="E562" s="23"/>
      <c r="F562" s="23"/>
    </row>
    <row r="563" spans="1:6" ht="16.5">
      <c r="A563" s="23"/>
      <c r="B563" s="23"/>
      <c r="C563" s="23"/>
      <c r="D563" s="23"/>
      <c r="E563" s="23"/>
      <c r="F563" s="23"/>
    </row>
    <row r="564" spans="1:6" ht="16.5">
      <c r="A564" s="23"/>
      <c r="B564" s="23"/>
      <c r="C564" s="23"/>
      <c r="D564" s="23"/>
      <c r="E564" s="23"/>
      <c r="F564" s="23"/>
    </row>
    <row r="565" spans="1:6" ht="16.5">
      <c r="A565" s="23"/>
      <c r="B565" s="23"/>
      <c r="C565" s="23"/>
      <c r="D565" s="23"/>
      <c r="E565" s="23"/>
      <c r="F565" s="23"/>
    </row>
    <row r="566" spans="1:6" ht="16.5">
      <c r="A566" s="23"/>
      <c r="B566" s="23"/>
      <c r="C566" s="23"/>
      <c r="D566" s="23"/>
      <c r="E566" s="23"/>
      <c r="F566" s="23"/>
    </row>
    <row r="567" spans="1:6" ht="16.5">
      <c r="A567" s="23"/>
      <c r="B567" s="23"/>
      <c r="C567" s="23"/>
      <c r="D567" s="23"/>
      <c r="E567" s="23"/>
      <c r="F567" s="23"/>
    </row>
    <row r="568" spans="1:6" ht="16.5">
      <c r="A568" s="23"/>
      <c r="B568" s="23"/>
      <c r="C568" s="23"/>
      <c r="D568" s="23"/>
      <c r="E568" s="23"/>
      <c r="F568" s="23"/>
    </row>
    <row r="569" spans="1:6" ht="16.5">
      <c r="A569" s="23"/>
      <c r="B569" s="23"/>
      <c r="C569" s="23"/>
      <c r="D569" s="23"/>
      <c r="E569" s="23"/>
      <c r="F569" s="23"/>
    </row>
    <row r="570" spans="1:6" ht="16.5">
      <c r="A570" s="23"/>
      <c r="B570" s="23"/>
      <c r="C570" s="23"/>
      <c r="D570" s="23"/>
      <c r="E570" s="23"/>
      <c r="F570" s="23"/>
    </row>
    <row r="571" spans="1:6" ht="16.5">
      <c r="A571" s="23"/>
      <c r="B571" s="23"/>
      <c r="C571" s="23"/>
      <c r="D571" s="23"/>
      <c r="E571" s="23"/>
      <c r="F571" s="23"/>
    </row>
    <row r="572" spans="1:6" ht="16.5">
      <c r="A572" s="23"/>
      <c r="B572" s="23"/>
      <c r="C572" s="23"/>
      <c r="D572" s="23"/>
      <c r="E572" s="23"/>
      <c r="F572" s="23"/>
    </row>
    <row r="573" spans="1:6" ht="16.5">
      <c r="A573" s="23"/>
      <c r="B573" s="23"/>
      <c r="C573" s="23"/>
      <c r="D573" s="23"/>
      <c r="E573" s="23"/>
      <c r="F573" s="23"/>
    </row>
    <row r="574" spans="1:6" ht="16.5">
      <c r="A574" s="23"/>
      <c r="B574" s="23"/>
      <c r="C574" s="23"/>
      <c r="D574" s="23"/>
      <c r="E574" s="23"/>
      <c r="F574" s="23"/>
    </row>
    <row r="575" spans="1:6" ht="16.5">
      <c r="A575" s="23"/>
      <c r="B575" s="23"/>
      <c r="C575" s="23"/>
      <c r="D575" s="23"/>
      <c r="E575" s="23"/>
      <c r="F575" s="23"/>
    </row>
    <row r="576" spans="1:6" ht="16.5">
      <c r="A576" s="23"/>
      <c r="B576" s="23"/>
      <c r="C576" s="23"/>
      <c r="D576" s="23"/>
      <c r="E576" s="23"/>
      <c r="F576" s="23"/>
    </row>
    <row r="577" spans="1:6" ht="16.5">
      <c r="A577" s="23"/>
      <c r="B577" s="23"/>
      <c r="C577" s="23"/>
      <c r="D577" s="23"/>
      <c r="E577" s="23"/>
      <c r="F577" s="23"/>
    </row>
    <row r="578" spans="1:6" ht="16.5">
      <c r="A578" s="23"/>
      <c r="B578" s="23"/>
      <c r="C578" s="23"/>
      <c r="D578" s="23"/>
      <c r="E578" s="23"/>
      <c r="F578" s="23"/>
    </row>
    <row r="579" spans="1:6" ht="16.5">
      <c r="A579" s="23"/>
      <c r="B579" s="23"/>
      <c r="C579" s="23"/>
      <c r="D579" s="23"/>
      <c r="E579" s="23"/>
      <c r="F579" s="23"/>
    </row>
    <row r="580" spans="1:6" ht="16.5">
      <c r="A580" s="23"/>
      <c r="B580" s="23"/>
      <c r="C580" s="23"/>
      <c r="D580" s="23"/>
      <c r="E580" s="23"/>
      <c r="F580" s="23"/>
    </row>
    <row r="581" spans="1:6" ht="16.5">
      <c r="A581" s="23"/>
      <c r="B581" s="23"/>
      <c r="C581" s="23"/>
      <c r="D581" s="23"/>
      <c r="E581" s="23"/>
      <c r="F581" s="23"/>
    </row>
    <row r="582" spans="1:6" ht="16.5">
      <c r="A582" s="23"/>
      <c r="B582" s="23"/>
      <c r="C582" s="23"/>
      <c r="D582" s="23"/>
      <c r="E582" s="23"/>
      <c r="F582" s="23"/>
    </row>
    <row r="583" spans="1:6" ht="16.5">
      <c r="A583" s="23"/>
      <c r="B583" s="23"/>
      <c r="C583" s="23"/>
      <c r="D583" s="23"/>
      <c r="E583" s="23"/>
      <c r="F583" s="23"/>
    </row>
    <row r="584" spans="1:6" ht="16.5">
      <c r="A584" s="23"/>
      <c r="B584" s="23"/>
      <c r="C584" s="23"/>
      <c r="D584" s="23"/>
      <c r="E584" s="23"/>
      <c r="F584" s="23"/>
    </row>
    <row r="585" spans="1:6" ht="16.5">
      <c r="A585" s="23"/>
      <c r="B585" s="23"/>
      <c r="C585" s="23"/>
      <c r="D585" s="23"/>
      <c r="E585" s="23"/>
      <c r="F585" s="23"/>
    </row>
    <row r="586" spans="1:6" ht="16.5">
      <c r="A586" s="23"/>
      <c r="B586" s="23"/>
      <c r="C586" s="23"/>
      <c r="D586" s="23"/>
      <c r="E586" s="23"/>
      <c r="F586" s="23"/>
    </row>
    <row r="587" spans="1:6" ht="16.5">
      <c r="A587" s="23"/>
      <c r="B587" s="23"/>
      <c r="C587" s="23"/>
      <c r="D587" s="23"/>
      <c r="E587" s="23"/>
      <c r="F587" s="23"/>
    </row>
    <row r="588" spans="1:6" ht="16.5">
      <c r="A588" s="23"/>
      <c r="B588" s="23"/>
      <c r="C588" s="23"/>
      <c r="D588" s="23"/>
      <c r="E588" s="23"/>
      <c r="F588" s="23"/>
    </row>
    <row r="589" spans="1:6" ht="16.5">
      <c r="A589" s="23"/>
      <c r="B589" s="23"/>
      <c r="C589" s="23"/>
      <c r="D589" s="23"/>
      <c r="E589" s="23"/>
      <c r="F589" s="23"/>
    </row>
    <row r="590" spans="1:6" ht="16.5">
      <c r="A590" s="23"/>
      <c r="B590" s="23"/>
      <c r="C590" s="23"/>
      <c r="D590" s="23"/>
      <c r="E590" s="23"/>
      <c r="F590" s="23"/>
    </row>
    <row r="591" spans="1:6" ht="16.5">
      <c r="A591" s="23"/>
      <c r="B591" s="23"/>
      <c r="C591" s="23"/>
      <c r="D591" s="23"/>
      <c r="E591" s="23"/>
      <c r="F591" s="23"/>
    </row>
    <row r="592" spans="1:6" ht="16.5">
      <c r="A592" s="23"/>
      <c r="B592" s="23"/>
      <c r="C592" s="23"/>
      <c r="D592" s="23"/>
      <c r="E592" s="23"/>
      <c r="F592" s="23"/>
    </row>
    <row r="593" spans="1:6" ht="16.5">
      <c r="A593" s="23"/>
      <c r="B593" s="23"/>
      <c r="C593" s="23"/>
      <c r="D593" s="23"/>
      <c r="E593" s="23"/>
      <c r="F593" s="23"/>
    </row>
    <row r="594" spans="1:6" ht="16.5">
      <c r="A594" s="23"/>
      <c r="B594" s="23"/>
      <c r="C594" s="23"/>
      <c r="D594" s="23"/>
      <c r="E594" s="23"/>
      <c r="F594" s="23"/>
    </row>
    <row r="595" spans="1:6" ht="16.5">
      <c r="A595" s="23"/>
      <c r="B595" s="23"/>
      <c r="C595" s="23"/>
      <c r="D595" s="23"/>
      <c r="E595" s="23"/>
      <c r="F595" s="23"/>
    </row>
    <row r="596" spans="1:6" ht="16.5">
      <c r="A596" s="23"/>
      <c r="B596" s="23"/>
      <c r="C596" s="23"/>
      <c r="D596" s="23"/>
      <c r="E596" s="23"/>
      <c r="F596" s="23"/>
    </row>
    <row r="597" spans="1:6" ht="16.5">
      <c r="A597" s="23"/>
      <c r="B597" s="23"/>
      <c r="C597" s="23"/>
      <c r="D597" s="23"/>
      <c r="E597" s="23"/>
      <c r="F597" s="23"/>
    </row>
    <row r="598" spans="1:6" ht="16.5">
      <c r="A598" s="23"/>
      <c r="B598" s="23"/>
      <c r="C598" s="23"/>
      <c r="D598" s="23"/>
      <c r="E598" s="23"/>
      <c r="F598" s="23"/>
    </row>
    <row r="599" spans="1:6" ht="16.5">
      <c r="A599" s="23"/>
      <c r="B599" s="23"/>
      <c r="C599" s="23"/>
      <c r="D599" s="23"/>
      <c r="E599" s="23"/>
      <c r="F599" s="23"/>
    </row>
    <row r="600" spans="1:6" ht="16.5">
      <c r="A600" s="23"/>
      <c r="B600" s="23"/>
      <c r="C600" s="23"/>
      <c r="D600" s="23"/>
      <c r="E600" s="23"/>
      <c r="F600" s="23"/>
    </row>
    <row r="601" spans="1:6" ht="16.5">
      <c r="A601" s="23"/>
      <c r="B601" s="23"/>
      <c r="C601" s="23"/>
      <c r="D601" s="23"/>
      <c r="E601" s="23"/>
      <c r="F601" s="23"/>
    </row>
    <row r="602" spans="1:6" ht="16.5">
      <c r="A602" s="23"/>
      <c r="B602" s="23"/>
      <c r="C602" s="23"/>
      <c r="D602" s="23"/>
      <c r="E602" s="23"/>
      <c r="F602" s="23"/>
    </row>
    <row r="603" spans="1:6" ht="16.5">
      <c r="A603" s="23"/>
      <c r="B603" s="23"/>
      <c r="C603" s="23"/>
      <c r="D603" s="23"/>
      <c r="E603" s="23"/>
      <c r="F603" s="23"/>
    </row>
    <row r="604" spans="1:6" ht="16.5">
      <c r="A604" s="23"/>
      <c r="B604" s="23"/>
      <c r="C604" s="23"/>
      <c r="D604" s="23"/>
      <c r="E604" s="23"/>
      <c r="F604" s="23"/>
    </row>
    <row r="605" spans="1:6" ht="16.5">
      <c r="A605" s="23"/>
      <c r="B605" s="23"/>
      <c r="C605" s="23"/>
      <c r="D605" s="23"/>
      <c r="E605" s="23"/>
      <c r="F605" s="23"/>
    </row>
    <row r="606" spans="1:6" ht="16.5">
      <c r="A606" s="23"/>
      <c r="B606" s="23"/>
      <c r="C606" s="23"/>
      <c r="D606" s="23"/>
      <c r="E606" s="23"/>
      <c r="F606" s="23"/>
    </row>
    <row r="607" spans="1:6" ht="16.5">
      <c r="A607" s="23"/>
      <c r="B607" s="23"/>
      <c r="C607" s="23"/>
      <c r="D607" s="23"/>
      <c r="E607" s="23"/>
      <c r="F607" s="23"/>
    </row>
    <row r="608" spans="1:6" ht="16.5">
      <c r="A608" s="23"/>
      <c r="B608" s="23"/>
      <c r="C608" s="23"/>
      <c r="D608" s="23"/>
      <c r="E608" s="23"/>
      <c r="F608" s="23"/>
    </row>
    <row r="609" spans="1:6" ht="16.5">
      <c r="A609" s="23"/>
      <c r="B609" s="23"/>
      <c r="C609" s="23"/>
      <c r="D609" s="23"/>
      <c r="E609" s="23"/>
      <c r="F609" s="23"/>
    </row>
    <row r="610" spans="1:6" ht="16.5">
      <c r="A610" s="23"/>
      <c r="B610" s="23"/>
      <c r="C610" s="23"/>
      <c r="D610" s="23"/>
      <c r="E610" s="23"/>
      <c r="F610" s="23"/>
    </row>
    <row r="611" spans="1:6" ht="16.5">
      <c r="A611" s="23"/>
      <c r="B611" s="23"/>
      <c r="C611" s="23"/>
      <c r="D611" s="23"/>
      <c r="E611" s="23"/>
      <c r="F611" s="23"/>
    </row>
    <row r="612" spans="1:6" ht="16.5">
      <c r="A612" s="23"/>
      <c r="B612" s="23"/>
      <c r="C612" s="23"/>
      <c r="D612" s="23"/>
      <c r="E612" s="23"/>
      <c r="F612" s="23"/>
    </row>
    <row r="613" spans="1:6" ht="16.5">
      <c r="A613" s="23"/>
      <c r="B613" s="23"/>
      <c r="C613" s="23"/>
      <c r="D613" s="23"/>
      <c r="E613" s="23"/>
      <c r="F613" s="23"/>
    </row>
    <row r="614" spans="1:6" ht="16.5">
      <c r="A614" s="23"/>
      <c r="B614" s="23"/>
      <c r="C614" s="23"/>
      <c r="D614" s="23"/>
      <c r="E614" s="23"/>
      <c r="F614" s="23"/>
    </row>
    <row r="615" spans="1:6" ht="16.5">
      <c r="A615" s="23"/>
      <c r="B615" s="23"/>
      <c r="C615" s="23"/>
      <c r="D615" s="23"/>
      <c r="E615" s="23"/>
      <c r="F615" s="23"/>
    </row>
    <row r="616" spans="1:6" ht="16.5">
      <c r="A616" s="23"/>
      <c r="B616" s="23"/>
      <c r="C616" s="23"/>
      <c r="D616" s="23"/>
      <c r="E616" s="23"/>
      <c r="F616" s="23"/>
    </row>
    <row r="617" spans="1:6" ht="16.5">
      <c r="A617" s="23"/>
      <c r="B617" s="23"/>
      <c r="C617" s="23"/>
      <c r="D617" s="23"/>
      <c r="E617" s="23"/>
      <c r="F617" s="23"/>
    </row>
    <row r="618" spans="1:6" ht="16.5">
      <c r="A618" s="23"/>
      <c r="B618" s="23"/>
      <c r="C618" s="23"/>
      <c r="D618" s="23"/>
      <c r="E618" s="23"/>
      <c r="F618" s="23"/>
    </row>
    <row r="619" spans="1:6" ht="16.5">
      <c r="A619" s="23"/>
      <c r="B619" s="23"/>
      <c r="C619" s="23"/>
      <c r="D619" s="23"/>
      <c r="E619" s="23"/>
      <c r="F619" s="23"/>
    </row>
    <row r="620" spans="1:6" ht="16.5">
      <c r="A620" s="23"/>
      <c r="B620" s="23"/>
      <c r="C620" s="23"/>
      <c r="D620" s="23"/>
      <c r="E620" s="23"/>
      <c r="F620" s="23"/>
    </row>
    <row r="621" spans="1:6" ht="16.5">
      <c r="A621" s="23"/>
      <c r="B621" s="23"/>
      <c r="C621" s="23"/>
      <c r="D621" s="23"/>
      <c r="E621" s="23"/>
      <c r="F621" s="23"/>
    </row>
    <row r="622" spans="1:6" ht="16.5">
      <c r="A622" s="23"/>
      <c r="B622" s="23"/>
      <c r="C622" s="23"/>
      <c r="D622" s="23"/>
      <c r="E622" s="23"/>
      <c r="F622" s="23"/>
    </row>
    <row r="623" spans="1:6" ht="16.5">
      <c r="A623" s="23"/>
      <c r="B623" s="23"/>
      <c r="C623" s="23"/>
      <c r="D623" s="23"/>
      <c r="E623" s="23"/>
      <c r="F623" s="23"/>
    </row>
    <row r="624" spans="1:6" ht="16.5">
      <c r="A624" s="23"/>
      <c r="B624" s="23"/>
      <c r="C624" s="23"/>
      <c r="D624" s="23"/>
      <c r="E624" s="23"/>
      <c r="F624" s="23"/>
    </row>
    <row r="625" spans="1:6" ht="16.5">
      <c r="A625" s="23"/>
      <c r="B625" s="23"/>
      <c r="C625" s="23"/>
      <c r="D625" s="23"/>
      <c r="E625" s="23"/>
      <c r="F625" s="23"/>
    </row>
    <row r="626" spans="1:6" ht="16.5">
      <c r="A626" s="23"/>
      <c r="B626" s="23"/>
      <c r="C626" s="23"/>
      <c r="D626" s="23"/>
      <c r="E626" s="23"/>
      <c r="F626" s="23"/>
    </row>
    <row r="627" spans="1:6" ht="16.5">
      <c r="A627" s="23"/>
      <c r="B627" s="23"/>
      <c r="C627" s="23"/>
      <c r="D627" s="23"/>
      <c r="E627" s="23"/>
      <c r="F627" s="23"/>
    </row>
    <row r="628" spans="1:6" ht="16.5">
      <c r="A628" s="23"/>
      <c r="B628" s="23"/>
      <c r="C628" s="23"/>
      <c r="D628" s="23"/>
      <c r="E628" s="23"/>
      <c r="F628" s="23"/>
    </row>
    <row r="629" spans="1:6" ht="16.5">
      <c r="A629" s="23"/>
      <c r="B629" s="23"/>
      <c r="C629" s="23"/>
      <c r="D629" s="23"/>
      <c r="E629" s="23"/>
      <c r="F629" s="23"/>
    </row>
    <row r="630" spans="1:6" ht="16.5">
      <c r="A630" s="23"/>
      <c r="B630" s="23"/>
      <c r="C630" s="23"/>
      <c r="D630" s="23"/>
      <c r="E630" s="23"/>
      <c r="F630" s="23"/>
    </row>
    <row r="631" spans="1:6" ht="16.5">
      <c r="A631" s="23"/>
      <c r="B631" s="23"/>
      <c r="C631" s="23"/>
      <c r="D631" s="23"/>
      <c r="E631" s="23"/>
      <c r="F631" s="23"/>
    </row>
    <row r="632" spans="1:6" ht="16.5">
      <c r="A632" s="23"/>
      <c r="B632" s="23"/>
      <c r="C632" s="23"/>
      <c r="D632" s="23"/>
      <c r="E632" s="23"/>
      <c r="F632" s="23"/>
    </row>
    <row r="633" spans="1:6" ht="16.5">
      <c r="A633" s="23"/>
      <c r="B633" s="23"/>
      <c r="C633" s="23"/>
      <c r="D633" s="23"/>
      <c r="E633" s="23"/>
      <c r="F633" s="23"/>
    </row>
    <row r="634" spans="1:6" ht="16.5">
      <c r="A634" s="23"/>
      <c r="B634" s="23"/>
      <c r="C634" s="23"/>
      <c r="D634" s="23"/>
      <c r="E634" s="23"/>
      <c r="F634" s="23"/>
    </row>
    <row r="635" spans="1:6" ht="16.5">
      <c r="A635" s="23"/>
      <c r="B635" s="23"/>
      <c r="C635" s="23"/>
      <c r="D635" s="23"/>
      <c r="E635" s="23"/>
      <c r="F635" s="23"/>
    </row>
    <row r="636" spans="1:6" ht="16.5">
      <c r="A636" s="23"/>
      <c r="B636" s="23"/>
      <c r="C636" s="23"/>
      <c r="D636" s="23"/>
      <c r="E636" s="23"/>
      <c r="F636" s="23"/>
    </row>
    <row r="637" spans="1:6" ht="16.5">
      <c r="A637" s="23"/>
      <c r="B637" s="23"/>
      <c r="C637" s="23"/>
      <c r="D637" s="23"/>
      <c r="E637" s="23"/>
      <c r="F637" s="23"/>
    </row>
    <row r="638" spans="1:6" ht="16.5">
      <c r="A638" s="23"/>
      <c r="B638" s="23"/>
      <c r="C638" s="23"/>
      <c r="D638" s="23"/>
      <c r="E638" s="23"/>
      <c r="F638" s="23"/>
    </row>
    <row r="639" spans="1:6" ht="16.5">
      <c r="A639" s="23"/>
      <c r="B639" s="23"/>
      <c r="C639" s="23"/>
      <c r="D639" s="23"/>
      <c r="E639" s="23"/>
      <c r="F639" s="23"/>
    </row>
    <row r="640" spans="1:6" ht="16.5">
      <c r="A640" s="23"/>
      <c r="B640" s="23"/>
      <c r="C640" s="23"/>
      <c r="D640" s="23"/>
      <c r="E640" s="23"/>
      <c r="F640" s="23"/>
    </row>
    <row r="641" spans="1:6" ht="16.5">
      <c r="A641" s="23"/>
      <c r="B641" s="23"/>
      <c r="C641" s="23"/>
      <c r="D641" s="23"/>
      <c r="E641" s="23"/>
      <c r="F641" s="23"/>
    </row>
    <row r="642" spans="1:6" ht="16.5">
      <c r="A642" s="23"/>
      <c r="B642" s="23"/>
      <c r="C642" s="23"/>
      <c r="D642" s="23"/>
      <c r="E642" s="23"/>
      <c r="F642" s="23"/>
    </row>
    <row r="643" spans="1:6" ht="16.5">
      <c r="A643" s="23"/>
      <c r="B643" s="23"/>
      <c r="C643" s="23"/>
      <c r="D643" s="23"/>
      <c r="E643" s="23"/>
      <c r="F643" s="23"/>
    </row>
    <row r="644" spans="1:6" ht="16.5">
      <c r="A644" s="23"/>
      <c r="B644" s="23"/>
      <c r="C644" s="23"/>
      <c r="D644" s="23"/>
      <c r="E644" s="23"/>
      <c r="F644" s="23"/>
    </row>
    <row r="645" spans="1:6" ht="16.5">
      <c r="A645" s="23"/>
      <c r="B645" s="23"/>
      <c r="C645" s="23"/>
      <c r="D645" s="23"/>
      <c r="E645" s="23"/>
      <c r="F645" s="23"/>
    </row>
    <row r="646" spans="1:6" ht="16.5">
      <c r="A646" s="23"/>
      <c r="B646" s="23"/>
      <c r="C646" s="23"/>
      <c r="D646" s="23"/>
      <c r="E646" s="23"/>
      <c r="F646" s="23"/>
    </row>
    <row r="647" spans="1:6" ht="16.5">
      <c r="A647" s="23"/>
      <c r="B647" s="23"/>
      <c r="C647" s="23"/>
      <c r="D647" s="23"/>
      <c r="E647" s="23"/>
      <c r="F647" s="23"/>
    </row>
    <row r="648" spans="1:6" ht="16.5">
      <c r="A648" s="23"/>
      <c r="B648" s="23"/>
      <c r="C648" s="23"/>
      <c r="D648" s="23"/>
      <c r="E648" s="23"/>
      <c r="F648" s="23"/>
    </row>
    <row r="649" spans="1:6" ht="16.5">
      <c r="A649" s="23"/>
      <c r="B649" s="23"/>
      <c r="C649" s="23"/>
      <c r="D649" s="23"/>
      <c r="E649" s="23"/>
      <c r="F649" s="23"/>
    </row>
    <row r="650" spans="1:6" ht="16.5">
      <c r="A650" s="23"/>
      <c r="B650" s="23"/>
      <c r="C650" s="23"/>
      <c r="D650" s="23"/>
      <c r="E650" s="23"/>
      <c r="F650" s="23"/>
    </row>
    <row r="651" spans="1:6" ht="16.5">
      <c r="A651" s="23"/>
      <c r="B651" s="23"/>
      <c r="C651" s="23"/>
      <c r="D651" s="23"/>
      <c r="E651" s="23"/>
      <c r="F651" s="23"/>
    </row>
    <row r="652" spans="1:6" ht="16.5">
      <c r="A652" s="23"/>
      <c r="B652" s="23"/>
      <c r="C652" s="23"/>
      <c r="D652" s="23"/>
      <c r="E652" s="23"/>
      <c r="F652" s="23"/>
    </row>
    <row r="653" spans="1:6" ht="16.5">
      <c r="A653" s="23"/>
      <c r="B653" s="23"/>
      <c r="C653" s="23"/>
      <c r="D653" s="23"/>
      <c r="E653" s="23"/>
      <c r="F653" s="23"/>
    </row>
    <row r="654" spans="1:6" ht="16.5">
      <c r="A654" s="23"/>
      <c r="B654" s="23"/>
      <c r="C654" s="23"/>
      <c r="D654" s="23"/>
      <c r="E654" s="23"/>
      <c r="F654" s="23"/>
    </row>
    <row r="655" spans="1:6" ht="16.5">
      <c r="A655" s="23"/>
      <c r="B655" s="23"/>
      <c r="C655" s="23"/>
      <c r="D655" s="23"/>
      <c r="E655" s="23"/>
      <c r="F655" s="23"/>
    </row>
    <row r="656" spans="1:6" ht="16.5">
      <c r="A656" s="23"/>
      <c r="B656" s="23"/>
      <c r="C656" s="23"/>
      <c r="D656" s="23"/>
      <c r="E656" s="23"/>
      <c r="F656" s="23"/>
    </row>
    <row r="657" spans="1:6" ht="16.5">
      <c r="A657" s="23"/>
      <c r="B657" s="23"/>
      <c r="C657" s="23"/>
      <c r="D657" s="23"/>
      <c r="E657" s="23"/>
      <c r="F657" s="23"/>
    </row>
    <row r="658" spans="1:6" ht="16.5">
      <c r="A658" s="23"/>
      <c r="B658" s="23"/>
      <c r="C658" s="23"/>
      <c r="D658" s="23"/>
      <c r="E658" s="23"/>
      <c r="F658" s="23"/>
    </row>
    <row r="659" spans="1:6" ht="16.5">
      <c r="A659" s="23"/>
      <c r="B659" s="23"/>
      <c r="C659" s="23"/>
      <c r="D659" s="23"/>
      <c r="E659" s="23"/>
      <c r="F659" s="23"/>
    </row>
    <row r="660" spans="1:6" ht="16.5">
      <c r="A660" s="23"/>
      <c r="B660" s="23"/>
      <c r="C660" s="23"/>
      <c r="D660" s="23"/>
      <c r="E660" s="23"/>
      <c r="F660" s="23"/>
    </row>
    <row r="661" spans="1:6" ht="16.5">
      <c r="A661" s="23"/>
      <c r="B661" s="23"/>
      <c r="C661" s="23"/>
      <c r="D661" s="23"/>
      <c r="E661" s="23"/>
      <c r="F661" s="23"/>
    </row>
    <row r="662" spans="1:6" ht="16.5">
      <c r="A662" s="23"/>
      <c r="B662" s="23"/>
      <c r="C662" s="23"/>
      <c r="D662" s="23"/>
      <c r="E662" s="23"/>
      <c r="F662" s="23"/>
    </row>
    <row r="663" spans="1:6" ht="16.5">
      <c r="A663" s="23"/>
      <c r="B663" s="23"/>
      <c r="C663" s="23"/>
      <c r="D663" s="23"/>
      <c r="E663" s="23"/>
      <c r="F663" s="23"/>
    </row>
    <row r="664" spans="1:6" ht="16.5">
      <c r="A664" s="23"/>
      <c r="B664" s="23"/>
      <c r="C664" s="23"/>
      <c r="D664" s="23"/>
      <c r="E664" s="23"/>
      <c r="F664" s="23"/>
    </row>
    <row r="665" spans="1:6" ht="16.5">
      <c r="A665" s="23"/>
      <c r="B665" s="23"/>
      <c r="C665" s="23"/>
      <c r="D665" s="23"/>
      <c r="E665" s="23"/>
      <c r="F665" s="23"/>
    </row>
    <row r="666" spans="1:6" ht="16.5">
      <c r="A666" s="23"/>
      <c r="B666" s="23"/>
      <c r="C666" s="23"/>
      <c r="D666" s="23"/>
      <c r="E666" s="23"/>
      <c r="F666" s="23"/>
    </row>
    <row r="667" spans="1:6" ht="16.5">
      <c r="A667" s="23"/>
      <c r="B667" s="23"/>
      <c r="C667" s="23"/>
      <c r="D667" s="23"/>
      <c r="E667" s="23"/>
      <c r="F667" s="23"/>
    </row>
    <row r="668" spans="1:6" ht="16.5">
      <c r="A668" s="23"/>
      <c r="B668" s="23"/>
      <c r="C668" s="23"/>
      <c r="D668" s="23"/>
      <c r="E668" s="23"/>
      <c r="F668" s="23"/>
    </row>
    <row r="669" spans="1:6" ht="16.5">
      <c r="A669" s="23"/>
      <c r="B669" s="23"/>
      <c r="C669" s="23"/>
      <c r="D669" s="23"/>
      <c r="E669" s="23"/>
      <c r="F669" s="23"/>
    </row>
    <row r="670" spans="1:6" ht="16.5">
      <c r="A670" s="23"/>
      <c r="B670" s="23"/>
      <c r="C670" s="23"/>
      <c r="D670" s="23"/>
      <c r="E670" s="23"/>
      <c r="F670" s="23"/>
    </row>
    <row r="671" spans="1:6" ht="16.5">
      <c r="A671" s="23"/>
      <c r="B671" s="23"/>
      <c r="C671" s="23"/>
      <c r="D671" s="23"/>
      <c r="E671" s="23"/>
      <c r="F671" s="23"/>
    </row>
    <row r="672" spans="1:6" ht="16.5">
      <c r="A672" s="23"/>
      <c r="B672" s="23"/>
      <c r="C672" s="23"/>
      <c r="D672" s="23"/>
      <c r="E672" s="23"/>
      <c r="F672" s="23"/>
    </row>
    <row r="673" spans="1:6" ht="16.5">
      <c r="A673" s="23"/>
      <c r="B673" s="23"/>
      <c r="C673" s="23"/>
      <c r="D673" s="23"/>
      <c r="E673" s="23"/>
      <c r="F673" s="23"/>
    </row>
    <row r="674" spans="1:6" ht="16.5">
      <c r="A674" s="23"/>
      <c r="B674" s="23"/>
      <c r="C674" s="23"/>
      <c r="D674" s="23"/>
      <c r="E674" s="23"/>
      <c r="F674" s="23"/>
    </row>
    <row r="675" spans="1:6" ht="16.5">
      <c r="A675" s="23"/>
      <c r="B675" s="23"/>
      <c r="C675" s="23"/>
      <c r="D675" s="23"/>
      <c r="E675" s="23"/>
      <c r="F675" s="23"/>
    </row>
    <row r="676" spans="1:6" ht="16.5">
      <c r="A676" s="23"/>
      <c r="B676" s="23"/>
      <c r="C676" s="23"/>
      <c r="D676" s="23"/>
      <c r="E676" s="23"/>
      <c r="F676" s="23"/>
    </row>
    <row r="677" spans="1:6" ht="16.5">
      <c r="A677" s="23"/>
      <c r="B677" s="23"/>
      <c r="C677" s="23"/>
      <c r="D677" s="23"/>
      <c r="E677" s="23"/>
      <c r="F677" s="23"/>
    </row>
    <row r="678" spans="1:6" ht="16.5">
      <c r="A678" s="23"/>
      <c r="B678" s="23"/>
      <c r="C678" s="23"/>
      <c r="D678" s="23"/>
      <c r="E678" s="23"/>
      <c r="F678" s="23"/>
    </row>
    <row r="679" spans="1:6" ht="16.5">
      <c r="A679" s="23"/>
      <c r="B679" s="23"/>
      <c r="C679" s="23"/>
      <c r="D679" s="23"/>
      <c r="E679" s="23"/>
      <c r="F679" s="23"/>
    </row>
    <row r="680" spans="1:6" ht="16.5">
      <c r="A680" s="23"/>
      <c r="B680" s="23"/>
      <c r="C680" s="23"/>
      <c r="D680" s="23"/>
      <c r="E680" s="23"/>
      <c r="F680" s="23"/>
    </row>
    <row r="681" spans="1:6" ht="16.5">
      <c r="A681" s="23"/>
      <c r="B681" s="23"/>
      <c r="C681" s="23"/>
      <c r="D681" s="23"/>
      <c r="E681" s="23"/>
      <c r="F681" s="23"/>
    </row>
    <row r="682" spans="1:6" ht="16.5">
      <c r="A682" s="23"/>
      <c r="B682" s="23"/>
      <c r="C682" s="23"/>
      <c r="D682" s="23"/>
      <c r="E682" s="23"/>
      <c r="F682" s="23"/>
    </row>
    <row r="683" spans="1:6" ht="16.5">
      <c r="A683" s="23"/>
      <c r="B683" s="23"/>
      <c r="C683" s="23"/>
      <c r="D683" s="23"/>
      <c r="E683" s="23"/>
      <c r="F683" s="23"/>
    </row>
    <row r="684" spans="1:6" ht="16.5">
      <c r="A684" s="23"/>
      <c r="B684" s="23"/>
      <c r="C684" s="23"/>
      <c r="D684" s="23"/>
      <c r="E684" s="23"/>
      <c r="F684" s="23"/>
    </row>
    <row r="685" spans="1:6" ht="16.5">
      <c r="A685" s="23"/>
      <c r="B685" s="23"/>
      <c r="C685" s="23"/>
      <c r="D685" s="23"/>
      <c r="E685" s="23"/>
      <c r="F685" s="23"/>
    </row>
    <row r="686" spans="1:6" ht="16.5">
      <c r="A686" s="23"/>
      <c r="B686" s="23"/>
      <c r="C686" s="23"/>
      <c r="D686" s="23"/>
      <c r="E686" s="23"/>
      <c r="F686" s="23"/>
    </row>
    <row r="687" spans="1:6" ht="16.5">
      <c r="A687" s="23"/>
      <c r="B687" s="23"/>
      <c r="C687" s="23"/>
      <c r="D687" s="23"/>
      <c r="E687" s="23"/>
      <c r="F687" s="23"/>
    </row>
    <row r="688" spans="1:6" ht="16.5">
      <c r="A688" s="23"/>
      <c r="B688" s="23"/>
      <c r="C688" s="23"/>
      <c r="D688" s="23"/>
      <c r="E688" s="23"/>
      <c r="F688" s="23"/>
    </row>
    <row r="689" spans="1:6" ht="16.5">
      <c r="A689" s="23"/>
      <c r="B689" s="23"/>
      <c r="C689" s="23"/>
      <c r="D689" s="23"/>
      <c r="E689" s="23"/>
      <c r="F689" s="23"/>
    </row>
    <row r="690" spans="1:6" ht="16.5">
      <c r="A690" s="23"/>
      <c r="B690" s="23"/>
      <c r="C690" s="23"/>
      <c r="D690" s="23"/>
      <c r="E690" s="23"/>
      <c r="F690" s="23"/>
    </row>
    <row r="691" spans="1:6" ht="16.5">
      <c r="A691" s="23"/>
      <c r="B691" s="23"/>
      <c r="C691" s="23"/>
      <c r="D691" s="23"/>
      <c r="E691" s="23"/>
      <c r="F691" s="23"/>
    </row>
    <row r="692" spans="1:6" ht="16.5">
      <c r="A692" s="23"/>
      <c r="B692" s="23"/>
      <c r="C692" s="23"/>
      <c r="D692" s="23"/>
      <c r="E692" s="23"/>
      <c r="F692" s="23"/>
    </row>
    <row r="693" spans="1:6" ht="16.5">
      <c r="A693" s="23"/>
      <c r="B693" s="23"/>
      <c r="C693" s="23"/>
      <c r="D693" s="23"/>
      <c r="E693" s="23"/>
      <c r="F693" s="23"/>
    </row>
    <row r="694" spans="1:6" ht="16.5">
      <c r="A694" s="23"/>
      <c r="B694" s="23"/>
      <c r="C694" s="23"/>
      <c r="D694" s="23"/>
      <c r="E694" s="23"/>
      <c r="F694" s="23"/>
    </row>
    <row r="695" spans="1:6" ht="16.5">
      <c r="A695" s="23"/>
      <c r="B695" s="23"/>
      <c r="C695" s="23"/>
      <c r="D695" s="23"/>
      <c r="E695" s="23"/>
      <c r="F695" s="23"/>
    </row>
    <row r="696" spans="1:6" ht="16.5">
      <c r="A696" s="23"/>
      <c r="B696" s="23"/>
      <c r="C696" s="23"/>
      <c r="D696" s="23"/>
      <c r="E696" s="23"/>
      <c r="F696" s="23"/>
    </row>
    <row r="697" spans="1:6" ht="16.5">
      <c r="A697" s="23"/>
      <c r="B697" s="23"/>
      <c r="C697" s="23"/>
      <c r="D697" s="23"/>
      <c r="E697" s="23"/>
      <c r="F697" s="23"/>
    </row>
    <row r="698" spans="1:6" ht="16.5">
      <c r="A698" s="23"/>
      <c r="B698" s="23"/>
      <c r="C698" s="23"/>
      <c r="D698" s="23"/>
      <c r="E698" s="23"/>
      <c r="F698" s="23"/>
    </row>
    <row r="699" spans="1:6" ht="16.5">
      <c r="A699" s="23"/>
      <c r="B699" s="23"/>
      <c r="C699" s="23"/>
      <c r="D699" s="23"/>
      <c r="E699" s="23"/>
      <c r="F699" s="23"/>
    </row>
    <row r="700" spans="1:6" ht="16.5">
      <c r="A700" s="23"/>
      <c r="B700" s="23"/>
      <c r="C700" s="23"/>
      <c r="D700" s="23"/>
      <c r="E700" s="23"/>
      <c r="F700" s="23"/>
    </row>
    <row r="701" spans="1:6" ht="16.5">
      <c r="A701" s="23"/>
      <c r="B701" s="23"/>
      <c r="C701" s="23"/>
      <c r="D701" s="23"/>
      <c r="E701" s="23"/>
      <c r="F701" s="23"/>
    </row>
    <row r="702" spans="1:6" ht="16.5">
      <c r="A702" s="23"/>
      <c r="B702" s="23"/>
      <c r="C702" s="23"/>
      <c r="D702" s="23"/>
      <c r="E702" s="23"/>
      <c r="F702" s="23"/>
    </row>
    <row r="703" spans="1:6" ht="16.5">
      <c r="A703" s="23"/>
      <c r="B703" s="23"/>
      <c r="C703" s="23"/>
      <c r="D703" s="23"/>
      <c r="E703" s="23"/>
      <c r="F703" s="23"/>
    </row>
    <row r="704" spans="1:6" ht="16.5">
      <c r="A704" s="23"/>
      <c r="B704" s="23"/>
      <c r="C704" s="23"/>
      <c r="D704" s="23"/>
      <c r="E704" s="23"/>
      <c r="F704" s="23"/>
    </row>
    <row r="705" spans="1:6" ht="16.5">
      <c r="A705" s="23"/>
      <c r="B705" s="23"/>
      <c r="C705" s="23"/>
      <c r="D705" s="23"/>
      <c r="E705" s="23"/>
      <c r="F705" s="23"/>
    </row>
    <row r="706" spans="1:6" ht="16.5">
      <c r="A706" s="23"/>
      <c r="B706" s="23"/>
      <c r="C706" s="23"/>
      <c r="D706" s="23"/>
      <c r="E706" s="23"/>
      <c r="F706" s="23"/>
    </row>
    <row r="707" spans="1:6" ht="16.5">
      <c r="A707" s="23"/>
      <c r="B707" s="23"/>
      <c r="C707" s="23"/>
      <c r="D707" s="23"/>
      <c r="E707" s="23"/>
      <c r="F707" s="23"/>
    </row>
    <row r="708" spans="1:6" ht="16.5">
      <c r="A708" s="23"/>
      <c r="B708" s="23"/>
      <c r="C708" s="23"/>
      <c r="D708" s="23"/>
      <c r="E708" s="23"/>
      <c r="F708" s="23"/>
    </row>
    <row r="709" spans="1:6" ht="16.5">
      <c r="A709" s="23"/>
      <c r="B709" s="23"/>
      <c r="C709" s="23"/>
      <c r="D709" s="23"/>
      <c r="E709" s="23"/>
      <c r="F709" s="23"/>
    </row>
    <row r="710" spans="1:6" ht="16.5">
      <c r="A710" s="23"/>
      <c r="B710" s="23"/>
      <c r="C710" s="23"/>
      <c r="D710" s="23"/>
      <c r="E710" s="23"/>
      <c r="F710" s="23"/>
    </row>
    <row r="711" spans="1:6" ht="16.5">
      <c r="A711" s="23"/>
      <c r="B711" s="23"/>
      <c r="C711" s="23"/>
      <c r="D711" s="23"/>
      <c r="E711" s="23"/>
      <c r="F711" s="23"/>
    </row>
    <row r="712" spans="1:6" ht="16.5">
      <c r="A712" s="23"/>
      <c r="B712" s="23"/>
      <c r="C712" s="23"/>
      <c r="D712" s="23"/>
      <c r="E712" s="23"/>
      <c r="F712" s="23"/>
    </row>
    <row r="713" spans="1:6" ht="16.5">
      <c r="A713" s="23"/>
      <c r="B713" s="23"/>
      <c r="C713" s="23"/>
      <c r="D713" s="23"/>
      <c r="E713" s="23"/>
      <c r="F713" s="23"/>
    </row>
    <row r="714" spans="1:6" ht="16.5">
      <c r="A714" s="23"/>
      <c r="B714" s="23"/>
      <c r="C714" s="23"/>
      <c r="D714" s="23"/>
      <c r="E714" s="23"/>
      <c r="F714" s="23"/>
    </row>
    <row r="715" spans="1:6" ht="16.5">
      <c r="A715" s="23"/>
      <c r="B715" s="23"/>
      <c r="C715" s="23"/>
      <c r="D715" s="23"/>
      <c r="E715" s="23"/>
      <c r="F715" s="23"/>
    </row>
    <row r="716" spans="1:6" ht="16.5">
      <c r="A716" s="23"/>
      <c r="B716" s="23"/>
      <c r="C716" s="23"/>
      <c r="D716" s="23"/>
      <c r="E716" s="23"/>
      <c r="F716" s="23"/>
    </row>
    <row r="717" spans="1:6" ht="16.5">
      <c r="A717" s="23"/>
      <c r="B717" s="23"/>
      <c r="C717" s="23"/>
      <c r="D717" s="23"/>
      <c r="E717" s="23"/>
      <c r="F717" s="23"/>
    </row>
    <row r="718" spans="1:6" ht="16.5">
      <c r="A718" s="23"/>
      <c r="B718" s="23"/>
      <c r="C718" s="23"/>
      <c r="D718" s="23"/>
      <c r="E718" s="23"/>
      <c r="F718" s="23"/>
    </row>
    <row r="719" spans="1:6" ht="16.5">
      <c r="A719" s="23"/>
      <c r="B719" s="23"/>
      <c r="C719" s="23"/>
      <c r="D719" s="23"/>
      <c r="E719" s="23"/>
      <c r="F719" s="23"/>
    </row>
    <row r="720" spans="1:6" ht="16.5">
      <c r="A720" s="23"/>
      <c r="B720" s="23"/>
      <c r="C720" s="23"/>
      <c r="D720" s="23"/>
      <c r="E720" s="23"/>
      <c r="F720" s="23"/>
    </row>
    <row r="721" spans="1:6" ht="16.5">
      <c r="A721" s="23"/>
      <c r="B721" s="23"/>
      <c r="C721" s="23"/>
      <c r="D721" s="23"/>
      <c r="E721" s="23"/>
      <c r="F721" s="23"/>
    </row>
    <row r="722" spans="1:6" ht="16.5">
      <c r="A722" s="23"/>
      <c r="B722" s="23"/>
      <c r="C722" s="23"/>
      <c r="D722" s="23"/>
      <c r="E722" s="23"/>
      <c r="F722" s="23"/>
    </row>
    <row r="723" spans="1:6" ht="16.5">
      <c r="A723" s="23"/>
      <c r="B723" s="23"/>
      <c r="C723" s="23"/>
      <c r="D723" s="23"/>
      <c r="E723" s="23"/>
      <c r="F723" s="23"/>
    </row>
    <row r="724" spans="1:6" ht="16.5">
      <c r="A724" s="23"/>
      <c r="B724" s="23"/>
      <c r="C724" s="23"/>
      <c r="D724" s="23"/>
      <c r="E724" s="23"/>
      <c r="F724" s="23"/>
    </row>
    <row r="725" spans="1:6" ht="16.5">
      <c r="A725" s="23"/>
      <c r="B725" s="23"/>
      <c r="C725" s="23"/>
      <c r="D725" s="23"/>
      <c r="E725" s="23"/>
      <c r="F725" s="23"/>
    </row>
    <row r="726" spans="1:6" ht="16.5">
      <c r="A726" s="23"/>
      <c r="B726" s="23"/>
      <c r="C726" s="23"/>
      <c r="D726" s="23"/>
      <c r="E726" s="23"/>
      <c r="F726" s="23"/>
    </row>
    <row r="727" spans="1:6" ht="16.5">
      <c r="A727" s="23"/>
      <c r="B727" s="23"/>
      <c r="C727" s="23"/>
      <c r="D727" s="23"/>
      <c r="E727" s="23"/>
      <c r="F727" s="23"/>
    </row>
    <row r="728" spans="1:6" ht="16.5">
      <c r="A728" s="23"/>
      <c r="B728" s="23"/>
      <c r="C728" s="23"/>
      <c r="D728" s="23"/>
      <c r="E728" s="23"/>
      <c r="F728" s="23"/>
    </row>
    <row r="729" spans="1:6" ht="16.5">
      <c r="A729" s="23"/>
      <c r="B729" s="23"/>
      <c r="C729" s="23"/>
      <c r="D729" s="23"/>
      <c r="E729" s="23"/>
      <c r="F729" s="23"/>
    </row>
    <row r="730" spans="1:6" ht="16.5">
      <c r="A730" s="23"/>
      <c r="B730" s="23"/>
      <c r="C730" s="23"/>
      <c r="D730" s="23"/>
      <c r="E730" s="23"/>
      <c r="F730" s="23"/>
    </row>
    <row r="731" spans="1:6" ht="16.5">
      <c r="A731" s="23"/>
      <c r="B731" s="23"/>
      <c r="C731" s="23"/>
      <c r="D731" s="23"/>
      <c r="E731" s="23"/>
      <c r="F731" s="23"/>
    </row>
    <row r="732" spans="1:6" ht="16.5">
      <c r="A732" s="23"/>
      <c r="B732" s="23"/>
      <c r="C732" s="23"/>
      <c r="D732" s="23"/>
      <c r="E732" s="23"/>
      <c r="F732" s="23"/>
    </row>
    <row r="733" spans="1:6" ht="16.5">
      <c r="A733" s="23"/>
      <c r="B733" s="23"/>
      <c r="C733" s="23"/>
      <c r="D733" s="23"/>
      <c r="E733" s="23"/>
      <c r="F733" s="23"/>
    </row>
    <row r="734" spans="1:6" ht="16.5">
      <c r="A734" s="23"/>
      <c r="B734" s="23"/>
      <c r="C734" s="23"/>
      <c r="D734" s="23"/>
      <c r="E734" s="23"/>
      <c r="F734" s="23"/>
    </row>
    <row r="735" spans="1:6" ht="16.5">
      <c r="A735" s="23"/>
      <c r="B735" s="23"/>
      <c r="C735" s="23"/>
      <c r="D735" s="23"/>
      <c r="E735" s="23"/>
      <c r="F735" s="23"/>
    </row>
    <row r="736" spans="1:6" ht="16.5">
      <c r="A736" s="23"/>
      <c r="B736" s="23"/>
      <c r="C736" s="23"/>
      <c r="D736" s="23"/>
      <c r="E736" s="23"/>
      <c r="F736" s="23"/>
    </row>
    <row r="737" spans="1:6" ht="16.5">
      <c r="A737" s="23"/>
      <c r="B737" s="23"/>
      <c r="C737" s="23"/>
      <c r="D737" s="23"/>
      <c r="E737" s="23"/>
      <c r="F737" s="23"/>
    </row>
    <row r="738" spans="1:6" ht="16.5">
      <c r="A738" s="23"/>
      <c r="B738" s="23"/>
      <c r="C738" s="23"/>
      <c r="D738" s="23"/>
      <c r="E738" s="23"/>
      <c r="F738" s="23"/>
    </row>
    <row r="739" spans="1:6" ht="16.5">
      <c r="A739" s="23"/>
      <c r="B739" s="23"/>
      <c r="C739" s="23"/>
      <c r="D739" s="23"/>
      <c r="E739" s="23"/>
      <c r="F739" s="23"/>
    </row>
    <row r="740" spans="1:6" ht="16.5">
      <c r="A740" s="23"/>
      <c r="B740" s="23"/>
      <c r="C740" s="23"/>
      <c r="D740" s="23"/>
      <c r="E740" s="23"/>
      <c r="F740" s="23"/>
    </row>
    <row r="741" spans="1:6" ht="16.5">
      <c r="A741" s="23"/>
      <c r="B741" s="23"/>
      <c r="C741" s="23"/>
      <c r="D741" s="23"/>
      <c r="E741" s="23"/>
      <c r="F741" s="23"/>
    </row>
    <row r="742" spans="1:6" ht="16.5">
      <c r="A742" s="23"/>
      <c r="B742" s="23"/>
      <c r="C742" s="23"/>
      <c r="D742" s="23"/>
      <c r="E742" s="23"/>
      <c r="F742" s="23"/>
    </row>
    <row r="743" spans="1:6" ht="16.5">
      <c r="A743" s="23"/>
      <c r="B743" s="23"/>
      <c r="C743" s="23"/>
      <c r="D743" s="23"/>
      <c r="E743" s="23"/>
      <c r="F743" s="23"/>
    </row>
    <row r="744" spans="1:6" ht="16.5">
      <c r="A744" s="23"/>
      <c r="B744" s="23"/>
      <c r="C744" s="23"/>
      <c r="D744" s="23"/>
      <c r="E744" s="23"/>
      <c r="F744" s="23"/>
    </row>
    <row r="745" spans="1:6" ht="16.5">
      <c r="A745" s="23"/>
      <c r="B745" s="23"/>
      <c r="C745" s="23"/>
      <c r="D745" s="23"/>
      <c r="E745" s="23"/>
      <c r="F745" s="23"/>
    </row>
    <row r="746" spans="1:6" ht="16.5">
      <c r="A746" s="23"/>
      <c r="B746" s="23"/>
      <c r="C746" s="23"/>
      <c r="D746" s="23"/>
      <c r="E746" s="23"/>
      <c r="F746" s="23"/>
    </row>
    <row r="747" spans="1:6" ht="16.5">
      <c r="A747" s="23"/>
      <c r="B747" s="23"/>
      <c r="C747" s="23"/>
      <c r="D747" s="23"/>
      <c r="E747" s="23"/>
      <c r="F747" s="23"/>
    </row>
    <row r="748" spans="1:6" ht="16.5">
      <c r="A748" s="23"/>
      <c r="B748" s="23"/>
      <c r="C748" s="23"/>
      <c r="D748" s="23"/>
      <c r="E748" s="23"/>
      <c r="F748" s="23"/>
    </row>
    <row r="749" spans="1:6" ht="16.5">
      <c r="A749" s="23"/>
      <c r="B749" s="23"/>
      <c r="C749" s="23"/>
      <c r="D749" s="23"/>
      <c r="E749" s="23"/>
      <c r="F749" s="23"/>
    </row>
    <row r="750" spans="1:6" ht="16.5">
      <c r="A750" s="23"/>
      <c r="B750" s="23"/>
      <c r="C750" s="23"/>
      <c r="D750" s="23"/>
      <c r="E750" s="23"/>
      <c r="F750" s="23"/>
    </row>
    <row r="751" spans="1:6" ht="16.5">
      <c r="A751" s="23"/>
      <c r="B751" s="23"/>
      <c r="C751" s="23"/>
      <c r="D751" s="23"/>
      <c r="E751" s="23"/>
      <c r="F751" s="23"/>
    </row>
    <row r="752" spans="1:6" ht="16.5">
      <c r="A752" s="23"/>
      <c r="B752" s="23"/>
      <c r="C752" s="23"/>
      <c r="D752" s="23"/>
      <c r="E752" s="23"/>
      <c r="F752" s="23"/>
    </row>
    <row r="753" spans="1:6" ht="16.5">
      <c r="A753" s="23"/>
      <c r="B753" s="23"/>
      <c r="C753" s="23"/>
      <c r="D753" s="23"/>
      <c r="E753" s="23"/>
      <c r="F753" s="23"/>
    </row>
    <row r="754" spans="1:6" ht="16.5">
      <c r="A754" s="23"/>
      <c r="B754" s="23"/>
      <c r="C754" s="23"/>
      <c r="D754" s="23"/>
      <c r="E754" s="23"/>
      <c r="F754" s="23"/>
    </row>
    <row r="755" spans="1:6" ht="16.5">
      <c r="A755" s="23"/>
      <c r="B755" s="23"/>
      <c r="C755" s="23"/>
      <c r="D755" s="23"/>
      <c r="E755" s="23"/>
      <c r="F755" s="23"/>
    </row>
    <row r="756" spans="1:6" ht="16.5">
      <c r="A756" s="23"/>
      <c r="B756" s="23"/>
      <c r="C756" s="23"/>
      <c r="D756" s="23"/>
      <c r="E756" s="23"/>
      <c r="F756" s="23"/>
    </row>
    <row r="757" spans="1:6" ht="16.5">
      <c r="A757" s="23"/>
      <c r="B757" s="23"/>
      <c r="C757" s="23"/>
      <c r="D757" s="23"/>
      <c r="E757" s="23"/>
      <c r="F757" s="23"/>
    </row>
    <row r="758" spans="1:6" ht="16.5">
      <c r="A758" s="23"/>
      <c r="B758" s="23"/>
      <c r="C758" s="23"/>
      <c r="D758" s="23"/>
      <c r="E758" s="23"/>
      <c r="F758" s="23"/>
    </row>
    <row r="759" spans="1:6" ht="16.5">
      <c r="A759" s="23"/>
      <c r="B759" s="23"/>
      <c r="C759" s="23"/>
      <c r="D759" s="23"/>
      <c r="E759" s="23"/>
      <c r="F759" s="23"/>
    </row>
    <row r="760" spans="1:6" ht="16.5">
      <c r="A760" s="23"/>
      <c r="B760" s="23"/>
      <c r="C760" s="23"/>
      <c r="D760" s="23"/>
      <c r="E760" s="23"/>
      <c r="F760" s="23"/>
    </row>
    <row r="761" spans="1:6" ht="16.5">
      <c r="A761" s="23"/>
      <c r="B761" s="23"/>
      <c r="C761" s="23"/>
      <c r="D761" s="23"/>
      <c r="E761" s="23"/>
      <c r="F761" s="23"/>
    </row>
    <row r="762" spans="1:6" ht="16.5">
      <c r="A762" s="23"/>
      <c r="B762" s="23"/>
      <c r="C762" s="23"/>
      <c r="D762" s="23"/>
      <c r="E762" s="23"/>
      <c r="F762" s="23"/>
    </row>
    <row r="763" spans="1:6" ht="16.5">
      <c r="A763" s="23"/>
      <c r="B763" s="23"/>
      <c r="C763" s="23"/>
      <c r="D763" s="23"/>
      <c r="E763" s="23"/>
      <c r="F763" s="23"/>
    </row>
    <row r="764" spans="1:6" ht="16.5">
      <c r="A764" s="23"/>
      <c r="B764" s="23"/>
      <c r="C764" s="23"/>
      <c r="D764" s="23"/>
      <c r="E764" s="23"/>
      <c r="F764" s="23"/>
    </row>
    <row r="765" spans="1:6" ht="16.5">
      <c r="A765" s="23"/>
      <c r="B765" s="23"/>
      <c r="C765" s="23"/>
      <c r="D765" s="23"/>
      <c r="E765" s="23"/>
      <c r="F765" s="23"/>
    </row>
    <row r="766" spans="1:6" ht="16.5">
      <c r="A766" s="23"/>
      <c r="B766" s="23"/>
      <c r="C766" s="23"/>
      <c r="D766" s="23"/>
      <c r="E766" s="23"/>
      <c r="F766" s="23"/>
    </row>
    <row r="767" spans="1:6" ht="16.5">
      <c r="A767" s="23"/>
      <c r="B767" s="23"/>
      <c r="C767" s="23"/>
      <c r="D767" s="23"/>
      <c r="E767" s="23"/>
      <c r="F767" s="23"/>
    </row>
    <row r="768" spans="1:6" ht="16.5">
      <c r="A768" s="23"/>
      <c r="B768" s="23"/>
      <c r="C768" s="23"/>
      <c r="D768" s="23"/>
      <c r="E768" s="23"/>
      <c r="F768" s="23"/>
    </row>
    <row r="769" spans="1:6" ht="16.5">
      <c r="A769" s="23"/>
      <c r="B769" s="23"/>
      <c r="C769" s="23"/>
      <c r="D769" s="23"/>
      <c r="E769" s="23"/>
      <c r="F769" s="23"/>
    </row>
    <row r="770" spans="1:6" ht="16.5">
      <c r="A770" s="23"/>
      <c r="B770" s="23"/>
      <c r="C770" s="23"/>
      <c r="D770" s="23"/>
      <c r="E770" s="23"/>
      <c r="F770" s="23"/>
    </row>
    <row r="771" spans="1:6" ht="16.5">
      <c r="A771" s="23"/>
      <c r="B771" s="23"/>
      <c r="C771" s="23"/>
      <c r="D771" s="23"/>
      <c r="E771" s="23"/>
      <c r="F771" s="23"/>
    </row>
    <row r="772" spans="1:6" ht="16.5">
      <c r="A772" s="23"/>
      <c r="B772" s="23"/>
      <c r="C772" s="23"/>
      <c r="D772" s="23"/>
      <c r="E772" s="23"/>
      <c r="F772" s="23"/>
    </row>
    <row r="773" spans="1:6" ht="16.5">
      <c r="A773" s="23"/>
      <c r="B773" s="23"/>
      <c r="C773" s="23"/>
      <c r="D773" s="23"/>
      <c r="E773" s="23"/>
      <c r="F773" s="23"/>
    </row>
    <row r="774" spans="1:6" ht="16.5">
      <c r="A774" s="23"/>
      <c r="B774" s="23"/>
      <c r="C774" s="23"/>
      <c r="D774" s="23"/>
      <c r="E774" s="23"/>
      <c r="F774" s="23"/>
    </row>
    <row r="775" spans="1:6" ht="16.5">
      <c r="A775" s="23"/>
      <c r="B775" s="23"/>
      <c r="C775" s="23"/>
      <c r="D775" s="23"/>
      <c r="E775" s="23"/>
      <c r="F775" s="23"/>
    </row>
    <row r="776" spans="1:6" ht="16.5">
      <c r="A776" s="23"/>
      <c r="B776" s="23"/>
      <c r="C776" s="23"/>
      <c r="D776" s="23"/>
      <c r="E776" s="23"/>
      <c r="F776" s="23"/>
    </row>
    <row r="777" spans="1:6" ht="16.5">
      <c r="A777" s="23"/>
      <c r="B777" s="23"/>
      <c r="C777" s="23"/>
      <c r="D777" s="23"/>
      <c r="E777" s="23"/>
      <c r="F777" s="23"/>
    </row>
    <row r="778" spans="1:6" ht="16.5">
      <c r="A778" s="23"/>
      <c r="B778" s="23"/>
      <c r="C778" s="23"/>
      <c r="D778" s="23"/>
      <c r="E778" s="23"/>
      <c r="F778" s="23"/>
    </row>
    <row r="779" spans="1:6" ht="16.5">
      <c r="A779" s="23"/>
      <c r="B779" s="23"/>
      <c r="C779" s="23"/>
      <c r="D779" s="23"/>
      <c r="E779" s="23"/>
      <c r="F779" s="23"/>
    </row>
    <row r="780" spans="1:6" ht="16.5">
      <c r="A780" s="23"/>
      <c r="B780" s="23"/>
      <c r="C780" s="23"/>
      <c r="D780" s="23"/>
      <c r="E780" s="23"/>
      <c r="F780" s="23"/>
    </row>
    <row r="781" spans="1:6" ht="16.5">
      <c r="A781" s="23"/>
      <c r="B781" s="23"/>
      <c r="C781" s="23"/>
      <c r="D781" s="23"/>
      <c r="E781" s="23"/>
      <c r="F781" s="23"/>
    </row>
    <row r="782" spans="1:6" ht="16.5">
      <c r="A782" s="23"/>
      <c r="B782" s="23"/>
      <c r="C782" s="23"/>
      <c r="D782" s="23"/>
      <c r="E782" s="23"/>
      <c r="F782" s="23"/>
    </row>
    <row r="783" spans="1:6" ht="16.5">
      <c r="A783" s="23"/>
      <c r="B783" s="23"/>
      <c r="C783" s="23"/>
      <c r="D783" s="23"/>
      <c r="E783" s="23"/>
      <c r="F783" s="23"/>
    </row>
    <row r="784" spans="1:6" ht="16.5">
      <c r="A784" s="23"/>
      <c r="B784" s="23"/>
      <c r="C784" s="23"/>
      <c r="D784" s="23"/>
      <c r="E784" s="23"/>
      <c r="F784" s="23"/>
    </row>
    <row r="785" spans="1:6" ht="16.5">
      <c r="A785" s="23"/>
      <c r="B785" s="23"/>
      <c r="C785" s="23"/>
      <c r="D785" s="23"/>
      <c r="E785" s="23"/>
      <c r="F785" s="23"/>
    </row>
    <row r="786" spans="1:6" ht="16.5">
      <c r="A786" s="23"/>
      <c r="B786" s="23"/>
      <c r="C786" s="23"/>
      <c r="D786" s="23"/>
      <c r="E786" s="23"/>
      <c r="F786" s="23"/>
    </row>
    <row r="787" spans="1:6" ht="16.5">
      <c r="A787" s="23"/>
      <c r="B787" s="23"/>
      <c r="C787" s="23"/>
      <c r="D787" s="23"/>
      <c r="E787" s="23"/>
      <c r="F787" s="23"/>
    </row>
    <row r="788" spans="1:6" ht="16.5">
      <c r="A788" s="23"/>
      <c r="B788" s="23"/>
      <c r="C788" s="23"/>
      <c r="D788" s="23"/>
      <c r="E788" s="23"/>
      <c r="F788" s="23"/>
    </row>
    <row r="789" spans="1:6" ht="16.5">
      <c r="A789" s="23"/>
      <c r="B789" s="23"/>
      <c r="C789" s="23"/>
      <c r="D789" s="23"/>
      <c r="E789" s="23"/>
      <c r="F789" s="23"/>
    </row>
    <row r="790" spans="1:6" ht="16.5">
      <c r="A790" s="23"/>
      <c r="B790" s="23"/>
      <c r="C790" s="23"/>
      <c r="D790" s="23"/>
      <c r="E790" s="23"/>
      <c r="F790" s="23"/>
    </row>
    <row r="791" spans="1:6" ht="16.5">
      <c r="A791" s="23"/>
      <c r="B791" s="23"/>
      <c r="C791" s="23"/>
      <c r="D791" s="23"/>
      <c r="E791" s="23"/>
      <c r="F791" s="23"/>
    </row>
    <row r="792" spans="1:6" ht="16.5">
      <c r="A792" s="23"/>
      <c r="B792" s="23"/>
      <c r="C792" s="23"/>
      <c r="D792" s="23"/>
      <c r="E792" s="23"/>
      <c r="F792" s="23"/>
    </row>
    <row r="793" spans="1:6" ht="16.5">
      <c r="A793" s="23"/>
      <c r="B793" s="23"/>
      <c r="C793" s="23"/>
      <c r="D793" s="23"/>
      <c r="E793" s="23"/>
      <c r="F793" s="23"/>
    </row>
    <row r="794" spans="1:6" ht="16.5">
      <c r="A794" s="23"/>
      <c r="B794" s="23"/>
      <c r="C794" s="23"/>
      <c r="D794" s="23"/>
      <c r="E794" s="23"/>
      <c r="F794" s="23"/>
    </row>
    <row r="795" spans="1:6" ht="16.5">
      <c r="A795" s="23"/>
      <c r="B795" s="23"/>
      <c r="C795" s="23"/>
      <c r="D795" s="23"/>
      <c r="E795" s="23"/>
      <c r="F795" s="23"/>
    </row>
    <row r="796" spans="1:6" ht="16.5">
      <c r="A796" s="23"/>
      <c r="B796" s="23"/>
      <c r="C796" s="23"/>
      <c r="D796" s="23"/>
      <c r="E796" s="23"/>
      <c r="F796" s="23"/>
    </row>
    <row r="797" spans="1:6" ht="16.5">
      <c r="A797" s="23"/>
      <c r="B797" s="23"/>
      <c r="C797" s="23"/>
      <c r="D797" s="23"/>
      <c r="E797" s="23"/>
      <c r="F797" s="23"/>
    </row>
    <row r="798" spans="1:6" ht="16.5">
      <c r="A798" s="23"/>
      <c r="B798" s="23"/>
      <c r="C798" s="23"/>
      <c r="D798" s="23"/>
      <c r="E798" s="23"/>
      <c r="F798" s="23"/>
    </row>
    <row r="799" spans="1:6" ht="16.5">
      <c r="A799" s="23"/>
      <c r="B799" s="23"/>
      <c r="C799" s="23"/>
      <c r="D799" s="23"/>
      <c r="E799" s="23"/>
      <c r="F799" s="23"/>
    </row>
    <row r="800" spans="1:6" ht="16.5">
      <c r="A800" s="23"/>
      <c r="B800" s="23"/>
      <c r="C800" s="23"/>
      <c r="D800" s="23"/>
      <c r="E800" s="23"/>
      <c r="F800" s="23"/>
    </row>
    <row r="801" spans="1:6" ht="16.5">
      <c r="A801" s="23"/>
      <c r="B801" s="23"/>
      <c r="C801" s="23"/>
      <c r="D801" s="23"/>
      <c r="E801" s="23"/>
      <c r="F801" s="23"/>
    </row>
    <row r="802" spans="1:6" ht="16.5">
      <c r="A802" s="23"/>
      <c r="B802" s="23"/>
      <c r="C802" s="23"/>
      <c r="D802" s="23"/>
      <c r="E802" s="23"/>
      <c r="F802" s="23"/>
    </row>
    <row r="803" spans="1:6" ht="16.5">
      <c r="A803" s="23"/>
      <c r="B803" s="23"/>
      <c r="C803" s="23"/>
      <c r="D803" s="23"/>
      <c r="E803" s="23"/>
      <c r="F803" s="23"/>
    </row>
    <row r="804" spans="1:6" ht="16.5">
      <c r="A804" s="23"/>
      <c r="B804" s="23"/>
      <c r="C804" s="23"/>
      <c r="D804" s="23"/>
      <c r="E804" s="23"/>
      <c r="F804" s="23"/>
    </row>
    <row r="805" spans="1:6" ht="16.5">
      <c r="A805" s="23"/>
      <c r="B805" s="23"/>
      <c r="C805" s="23"/>
      <c r="D805" s="23"/>
      <c r="E805" s="23"/>
      <c r="F805" s="23"/>
    </row>
    <row r="806" spans="1:6" ht="16.5">
      <c r="A806" s="23"/>
      <c r="B806" s="23"/>
      <c r="C806" s="23"/>
      <c r="D806" s="23"/>
      <c r="E806" s="23"/>
      <c r="F806" s="23"/>
    </row>
    <row r="807" spans="1:6" ht="16.5">
      <c r="A807" s="23"/>
      <c r="B807" s="23"/>
      <c r="C807" s="23"/>
      <c r="D807" s="23"/>
      <c r="E807" s="23"/>
      <c r="F807" s="23"/>
    </row>
    <row r="808" spans="1:6" ht="16.5">
      <c r="A808" s="23"/>
      <c r="B808" s="23"/>
      <c r="C808" s="23"/>
      <c r="D808" s="23"/>
      <c r="E808" s="23"/>
      <c r="F808" s="23"/>
    </row>
    <row r="809" spans="1:6" ht="16.5">
      <c r="A809" s="23"/>
      <c r="B809" s="23"/>
      <c r="C809" s="23"/>
      <c r="D809" s="23"/>
      <c r="E809" s="23"/>
      <c r="F809" s="23"/>
    </row>
    <row r="810" spans="1:6" ht="16.5">
      <c r="A810" s="23"/>
      <c r="B810" s="23"/>
      <c r="C810" s="23"/>
      <c r="D810" s="23"/>
      <c r="E810" s="23"/>
      <c r="F810" s="23"/>
    </row>
    <row r="811" spans="1:6" ht="16.5">
      <c r="A811" s="23"/>
      <c r="B811" s="23"/>
      <c r="C811" s="23"/>
      <c r="D811" s="23"/>
      <c r="E811" s="23"/>
      <c r="F811" s="23"/>
    </row>
    <row r="812" spans="1:6" ht="16.5">
      <c r="A812" s="23"/>
      <c r="B812" s="23"/>
      <c r="C812" s="23"/>
      <c r="D812" s="23"/>
      <c r="E812" s="23"/>
      <c r="F812" s="23"/>
    </row>
    <row r="813" spans="1:6" ht="16.5">
      <c r="A813" s="23"/>
      <c r="B813" s="23"/>
      <c r="C813" s="23"/>
      <c r="D813" s="23"/>
      <c r="E813" s="23"/>
      <c r="F813" s="23"/>
    </row>
    <row r="814" spans="1:6" ht="16.5">
      <c r="A814" s="23"/>
      <c r="B814" s="23"/>
      <c r="C814" s="23"/>
      <c r="D814" s="23"/>
      <c r="E814" s="23"/>
      <c r="F814" s="23"/>
    </row>
    <row r="815" spans="1:6" ht="16.5">
      <c r="A815" s="23"/>
      <c r="B815" s="23"/>
      <c r="C815" s="23"/>
      <c r="D815" s="23"/>
      <c r="E815" s="23"/>
      <c r="F815" s="23"/>
    </row>
    <row r="816" spans="1:6" ht="16.5">
      <c r="A816" s="23"/>
      <c r="B816" s="23"/>
      <c r="C816" s="23"/>
      <c r="D816" s="23"/>
      <c r="E816" s="23"/>
      <c r="F816" s="23"/>
    </row>
    <row r="817" spans="1:6" ht="16.5">
      <c r="A817" s="23"/>
      <c r="B817" s="23"/>
      <c r="C817" s="23"/>
      <c r="D817" s="23"/>
      <c r="E817" s="23"/>
      <c r="F817" s="23"/>
    </row>
    <row r="818" spans="1:6" ht="16.5">
      <c r="A818" s="23"/>
      <c r="B818" s="23"/>
      <c r="C818" s="23"/>
      <c r="D818" s="23"/>
      <c r="E818" s="23"/>
      <c r="F818" s="23"/>
    </row>
    <row r="819" spans="1:6" ht="16.5">
      <c r="A819" s="23"/>
      <c r="B819" s="23"/>
      <c r="C819" s="23"/>
      <c r="D819" s="23"/>
      <c r="E819" s="23"/>
      <c r="F819" s="23"/>
    </row>
    <row r="820" spans="1:6" ht="16.5">
      <c r="A820" s="23"/>
      <c r="B820" s="23"/>
      <c r="C820" s="23"/>
      <c r="D820" s="23"/>
      <c r="E820" s="23"/>
      <c r="F820" s="23"/>
    </row>
    <row r="821" spans="1:6" ht="16.5">
      <c r="A821" s="23"/>
      <c r="B821" s="23"/>
      <c r="C821" s="23"/>
      <c r="D821" s="23"/>
      <c r="E821" s="23"/>
      <c r="F821" s="23"/>
    </row>
    <row r="822" spans="1:6" ht="16.5">
      <c r="A822" s="23"/>
      <c r="B822" s="23"/>
      <c r="C822" s="23"/>
      <c r="D822" s="23"/>
      <c r="E822" s="23"/>
      <c r="F822" s="23"/>
    </row>
    <row r="823" spans="1:6" ht="16.5">
      <c r="A823" s="23"/>
      <c r="B823" s="23"/>
      <c r="C823" s="23"/>
      <c r="D823" s="23"/>
      <c r="E823" s="23"/>
      <c r="F823" s="23"/>
    </row>
    <row r="824" spans="1:6" ht="16.5">
      <c r="A824" s="23"/>
      <c r="B824" s="23"/>
      <c r="C824" s="23"/>
      <c r="D824" s="23"/>
      <c r="E824" s="23"/>
      <c r="F824" s="23"/>
    </row>
    <row r="825" spans="1:6" ht="16.5">
      <c r="A825" s="23"/>
      <c r="B825" s="23"/>
      <c r="C825" s="23"/>
      <c r="D825" s="23"/>
      <c r="E825" s="23"/>
      <c r="F825" s="23"/>
    </row>
    <row r="826" spans="1:6" ht="16.5">
      <c r="A826" s="23"/>
      <c r="B826" s="23"/>
      <c r="C826" s="23"/>
      <c r="D826" s="23"/>
      <c r="E826" s="23"/>
      <c r="F826" s="23"/>
    </row>
    <row r="827" spans="1:6" ht="16.5">
      <c r="A827" s="23"/>
      <c r="B827" s="23"/>
      <c r="C827" s="23"/>
      <c r="D827" s="23"/>
      <c r="E827" s="23"/>
      <c r="F827" s="23"/>
    </row>
    <row r="828" spans="1:6" ht="16.5">
      <c r="A828" s="23"/>
      <c r="B828" s="23"/>
      <c r="C828" s="23"/>
      <c r="D828" s="23"/>
      <c r="E828" s="23"/>
      <c r="F828" s="23"/>
    </row>
    <row r="829" spans="1:6" ht="16.5">
      <c r="A829" s="23"/>
      <c r="B829" s="23"/>
      <c r="C829" s="23"/>
      <c r="D829" s="23"/>
      <c r="E829" s="23"/>
      <c r="F829" s="23"/>
    </row>
    <row r="830" spans="1:6" ht="16.5">
      <c r="A830" s="23"/>
      <c r="B830" s="23"/>
      <c r="C830" s="23"/>
      <c r="D830" s="23"/>
      <c r="E830" s="23"/>
      <c r="F830" s="23"/>
    </row>
    <row r="831" spans="1:6" ht="16.5">
      <c r="A831" s="23"/>
      <c r="B831" s="23"/>
      <c r="C831" s="23"/>
      <c r="D831" s="23"/>
      <c r="E831" s="23"/>
      <c r="F831" s="23"/>
    </row>
    <row r="832" spans="1:6" ht="16.5">
      <c r="A832" s="23"/>
      <c r="B832" s="23"/>
      <c r="C832" s="23"/>
      <c r="D832" s="23"/>
      <c r="E832" s="23"/>
      <c r="F832" s="23"/>
    </row>
    <row r="833" spans="1:6" ht="16.5">
      <c r="A833" s="23"/>
      <c r="B833" s="23"/>
      <c r="C833" s="23"/>
      <c r="D833" s="23"/>
      <c r="E833" s="23"/>
      <c r="F833" s="23"/>
    </row>
    <row r="834" spans="1:6" ht="16.5">
      <c r="A834" s="23"/>
      <c r="B834" s="23"/>
      <c r="C834" s="23"/>
      <c r="D834" s="23"/>
      <c r="E834" s="23"/>
      <c r="F834" s="23"/>
    </row>
    <row r="835" spans="1:6" ht="16.5">
      <c r="A835" s="23"/>
      <c r="B835" s="23"/>
      <c r="C835" s="23"/>
      <c r="D835" s="23"/>
      <c r="E835" s="23"/>
      <c r="F835" s="23"/>
    </row>
    <row r="836" spans="1:6" ht="16.5">
      <c r="A836" s="23"/>
      <c r="B836" s="23"/>
      <c r="C836" s="23"/>
      <c r="D836" s="23"/>
      <c r="E836" s="23"/>
      <c r="F836" s="23"/>
    </row>
    <row r="837" spans="1:6" ht="16.5">
      <c r="A837" s="23"/>
      <c r="B837" s="23"/>
      <c r="C837" s="23"/>
      <c r="D837" s="23"/>
      <c r="E837" s="23"/>
      <c r="F837" s="23"/>
    </row>
    <row r="838" spans="1:6" ht="16.5">
      <c r="A838" s="23"/>
      <c r="B838" s="23"/>
      <c r="C838" s="23"/>
      <c r="D838" s="23"/>
      <c r="E838" s="23"/>
      <c r="F838" s="23"/>
    </row>
    <row r="839" spans="1:6" ht="16.5">
      <c r="A839" s="23"/>
      <c r="B839" s="23"/>
      <c r="C839" s="23"/>
      <c r="D839" s="23"/>
      <c r="E839" s="23"/>
      <c r="F839" s="23"/>
    </row>
    <row r="840" spans="1:6" ht="16.5">
      <c r="A840" s="23"/>
      <c r="B840" s="23"/>
      <c r="C840" s="23"/>
      <c r="D840" s="23"/>
      <c r="E840" s="23"/>
      <c r="F840" s="23"/>
    </row>
    <row r="841" spans="1:6" ht="16.5">
      <c r="A841" s="23"/>
      <c r="B841" s="23"/>
      <c r="C841" s="23"/>
      <c r="D841" s="23"/>
      <c r="E841" s="23"/>
      <c r="F841" s="23"/>
    </row>
    <row r="842" spans="1:6" ht="16.5">
      <c r="A842" s="23"/>
      <c r="B842" s="23"/>
      <c r="C842" s="23"/>
      <c r="D842" s="23"/>
      <c r="E842" s="23"/>
      <c r="F842" s="23"/>
    </row>
    <row r="843" spans="1:6" ht="16.5">
      <c r="A843" s="23"/>
      <c r="B843" s="23"/>
      <c r="C843" s="23"/>
      <c r="D843" s="23"/>
      <c r="E843" s="23"/>
      <c r="F843" s="23"/>
    </row>
    <row r="844" spans="1:6" ht="16.5">
      <c r="A844" s="23"/>
      <c r="B844" s="23"/>
      <c r="C844" s="23"/>
      <c r="D844" s="23"/>
      <c r="E844" s="23"/>
      <c r="F844" s="23"/>
    </row>
    <row r="845" spans="1:6" ht="16.5">
      <c r="A845" s="23"/>
      <c r="B845" s="23"/>
      <c r="C845" s="23"/>
      <c r="D845" s="23"/>
      <c r="E845" s="23"/>
      <c r="F845" s="23"/>
    </row>
    <row r="846" spans="1:6" ht="16.5">
      <c r="A846" s="23"/>
      <c r="B846" s="23"/>
      <c r="C846" s="23"/>
      <c r="D846" s="23"/>
      <c r="E846" s="23"/>
      <c r="F846" s="23"/>
    </row>
    <row r="847" spans="1:6" ht="16.5">
      <c r="A847" s="23"/>
      <c r="B847" s="23"/>
      <c r="C847" s="23"/>
      <c r="D847" s="23"/>
      <c r="E847" s="23"/>
      <c r="F847" s="23"/>
    </row>
    <row r="848" spans="1:6" ht="16.5">
      <c r="A848" s="23"/>
      <c r="B848" s="23"/>
      <c r="C848" s="23"/>
      <c r="D848" s="23"/>
      <c r="E848" s="23"/>
      <c r="F848" s="23"/>
    </row>
    <row r="849" spans="1:6" ht="16.5">
      <c r="A849" s="23"/>
      <c r="B849" s="23"/>
      <c r="C849" s="23"/>
      <c r="D849" s="23"/>
      <c r="E849" s="23"/>
      <c r="F849" s="23"/>
    </row>
    <row r="850" spans="1:6" ht="16.5">
      <c r="A850" s="23"/>
      <c r="B850" s="23"/>
      <c r="C850" s="23"/>
      <c r="D850" s="23"/>
      <c r="E850" s="23"/>
      <c r="F850" s="23"/>
    </row>
    <row r="851" spans="1:6" ht="16.5">
      <c r="A851" s="23"/>
      <c r="B851" s="23"/>
      <c r="C851" s="23"/>
      <c r="D851" s="23"/>
      <c r="E851" s="23"/>
      <c r="F851" s="23"/>
    </row>
    <row r="852" spans="1:6" ht="16.5">
      <c r="A852" s="23"/>
      <c r="B852" s="23"/>
      <c r="C852" s="23"/>
      <c r="D852" s="23"/>
      <c r="E852" s="23"/>
      <c r="F852" s="23"/>
    </row>
    <row r="853" spans="1:6" ht="16.5">
      <c r="A853" s="23"/>
      <c r="B853" s="23"/>
      <c r="C853" s="23"/>
      <c r="D853" s="23"/>
      <c r="E853" s="23"/>
      <c r="F853" s="23"/>
    </row>
    <row r="854" spans="1:6" ht="16.5">
      <c r="A854" s="23"/>
      <c r="B854" s="23"/>
      <c r="C854" s="23"/>
      <c r="D854" s="23"/>
      <c r="E854" s="23"/>
      <c r="F854" s="23"/>
    </row>
    <row r="855" spans="1:6" ht="16.5">
      <c r="A855" s="23"/>
      <c r="B855" s="23"/>
      <c r="C855" s="23"/>
      <c r="D855" s="23"/>
      <c r="E855" s="23"/>
      <c r="F855" s="23"/>
    </row>
    <row r="856" spans="1:6" ht="16.5">
      <c r="A856" s="23"/>
      <c r="B856" s="23"/>
      <c r="C856" s="23"/>
      <c r="D856" s="23"/>
      <c r="E856" s="23"/>
      <c r="F856" s="23"/>
    </row>
    <row r="857" spans="1:6" ht="16.5">
      <c r="A857" s="23"/>
      <c r="B857" s="23"/>
      <c r="C857" s="23"/>
      <c r="D857" s="23"/>
      <c r="E857" s="23"/>
      <c r="F857" s="23"/>
    </row>
    <row r="858" spans="1:6" ht="16.5">
      <c r="A858" s="23"/>
      <c r="B858" s="23"/>
      <c r="C858" s="23"/>
      <c r="D858" s="23"/>
      <c r="E858" s="23"/>
      <c r="F858" s="23"/>
    </row>
    <row r="859" spans="1:6" ht="16.5">
      <c r="A859" s="23"/>
      <c r="B859" s="23"/>
      <c r="C859" s="23"/>
      <c r="D859" s="23"/>
      <c r="E859" s="23"/>
      <c r="F859" s="23"/>
    </row>
    <row r="860" spans="1:6" ht="16.5">
      <c r="A860" s="23"/>
      <c r="B860" s="23"/>
      <c r="C860" s="23"/>
      <c r="D860" s="23"/>
      <c r="E860" s="23"/>
      <c r="F860" s="23"/>
    </row>
    <row r="861" spans="1:6" ht="16.5">
      <c r="A861" s="23"/>
      <c r="B861" s="23"/>
      <c r="C861" s="23"/>
      <c r="D861" s="23"/>
      <c r="E861" s="23"/>
      <c r="F861" s="23"/>
    </row>
    <row r="862" spans="1:6" ht="16.5">
      <c r="A862" s="23"/>
      <c r="B862" s="23"/>
      <c r="C862" s="23"/>
      <c r="D862" s="23"/>
      <c r="E862" s="23"/>
      <c r="F862" s="23"/>
    </row>
    <row r="863" spans="1:6" ht="16.5">
      <c r="A863" s="23"/>
      <c r="B863" s="23"/>
      <c r="C863" s="23"/>
      <c r="D863" s="23"/>
      <c r="E863" s="23"/>
      <c r="F863" s="23"/>
    </row>
    <row r="864" spans="1:6" ht="16.5">
      <c r="A864" s="23"/>
      <c r="B864" s="23"/>
      <c r="C864" s="23"/>
      <c r="D864" s="23"/>
      <c r="E864" s="23"/>
      <c r="F864" s="23"/>
    </row>
    <row r="865" spans="1:6" ht="16.5">
      <c r="A865" s="23"/>
      <c r="B865" s="23"/>
      <c r="C865" s="23"/>
      <c r="D865" s="23"/>
      <c r="E865" s="23"/>
      <c r="F865" s="23"/>
    </row>
    <row r="866" spans="1:6" ht="16.5">
      <c r="A866" s="23"/>
      <c r="B866" s="23"/>
      <c r="C866" s="23"/>
      <c r="D866" s="23"/>
      <c r="E866" s="23"/>
      <c r="F866" s="23"/>
    </row>
    <row r="867" spans="1:6" ht="16.5">
      <c r="A867" s="23"/>
      <c r="B867" s="23"/>
      <c r="C867" s="23"/>
      <c r="D867" s="23"/>
      <c r="E867" s="23"/>
      <c r="F867" s="23"/>
    </row>
    <row r="868" spans="1:6" ht="16.5">
      <c r="A868" s="23"/>
      <c r="B868" s="23"/>
      <c r="C868" s="23"/>
      <c r="D868" s="23"/>
      <c r="E868" s="23"/>
      <c r="F868" s="23"/>
    </row>
    <row r="869" spans="1:6" ht="16.5">
      <c r="A869" s="23"/>
      <c r="B869" s="23"/>
      <c r="C869" s="23"/>
      <c r="D869" s="23"/>
      <c r="E869" s="23"/>
      <c r="F869" s="23"/>
    </row>
    <row r="870" spans="1:6" ht="16.5">
      <c r="A870" s="23"/>
      <c r="B870" s="23"/>
      <c r="C870" s="23"/>
      <c r="D870" s="23"/>
      <c r="E870" s="23"/>
      <c r="F870" s="23"/>
    </row>
    <row r="871" spans="1:6" ht="16.5">
      <c r="A871" s="23"/>
      <c r="B871" s="23"/>
      <c r="C871" s="23"/>
      <c r="D871" s="23"/>
      <c r="E871" s="23"/>
      <c r="F871" s="23"/>
    </row>
    <row r="872" spans="1:6" ht="16.5">
      <c r="A872" s="23"/>
      <c r="B872" s="23"/>
      <c r="C872" s="23"/>
      <c r="D872" s="23"/>
      <c r="E872" s="23"/>
      <c r="F872" s="23"/>
    </row>
    <row r="873" spans="1:6" ht="16.5">
      <c r="A873" s="23"/>
      <c r="B873" s="23"/>
      <c r="C873" s="23"/>
      <c r="D873" s="23"/>
      <c r="E873" s="23"/>
      <c r="F873" s="23"/>
    </row>
    <row r="874" spans="1:6" ht="16.5">
      <c r="A874" s="23"/>
      <c r="B874" s="23"/>
      <c r="C874" s="23"/>
      <c r="D874" s="23"/>
      <c r="E874" s="23"/>
      <c r="F874" s="23"/>
    </row>
    <row r="875" spans="1:6" ht="16.5">
      <c r="A875" s="23"/>
      <c r="B875" s="23"/>
      <c r="C875" s="23"/>
      <c r="D875" s="23"/>
      <c r="E875" s="23"/>
      <c r="F875" s="23"/>
    </row>
    <row r="876" spans="1:6" ht="16.5">
      <c r="A876" s="23"/>
      <c r="B876" s="23"/>
      <c r="C876" s="23"/>
      <c r="D876" s="23"/>
      <c r="E876" s="23"/>
      <c r="F876" s="23"/>
    </row>
    <row r="877" spans="1:6" ht="16.5">
      <c r="A877" s="23"/>
      <c r="B877" s="23"/>
      <c r="C877" s="23"/>
      <c r="D877" s="23"/>
      <c r="E877" s="23"/>
      <c r="F877" s="23"/>
    </row>
    <row r="878" spans="1:6" ht="16.5">
      <c r="A878" s="23"/>
      <c r="B878" s="23"/>
      <c r="C878" s="23"/>
      <c r="D878" s="23"/>
      <c r="E878" s="23"/>
      <c r="F878" s="23"/>
    </row>
    <row r="879" spans="1:6" ht="16.5">
      <c r="A879" s="23"/>
      <c r="B879" s="23"/>
      <c r="C879" s="23"/>
      <c r="D879" s="23"/>
      <c r="E879" s="23"/>
      <c r="F879" s="23"/>
    </row>
    <row r="880" spans="1:6" ht="16.5">
      <c r="A880" s="23"/>
      <c r="B880" s="23"/>
      <c r="C880" s="23"/>
      <c r="D880" s="23"/>
      <c r="E880" s="23"/>
      <c r="F880" s="23"/>
    </row>
    <row r="881" spans="1:6" ht="16.5">
      <c r="A881" s="23"/>
      <c r="B881" s="23"/>
      <c r="C881" s="23"/>
      <c r="D881" s="23"/>
      <c r="E881" s="23"/>
      <c r="F881" s="23"/>
    </row>
    <row r="882" spans="1:6" ht="16.5">
      <c r="A882" s="23"/>
      <c r="B882" s="23"/>
      <c r="C882" s="23"/>
      <c r="D882" s="23"/>
      <c r="E882" s="23"/>
      <c r="F882" s="23"/>
    </row>
    <row r="883" spans="1:6" ht="16.5">
      <c r="A883" s="23"/>
      <c r="B883" s="23"/>
      <c r="C883" s="23"/>
      <c r="D883" s="23"/>
      <c r="E883" s="23"/>
      <c r="F883" s="23"/>
    </row>
    <row r="884" spans="1:6" ht="16.5">
      <c r="A884" s="23"/>
      <c r="B884" s="23"/>
      <c r="C884" s="23"/>
      <c r="D884" s="23"/>
      <c r="E884" s="23"/>
      <c r="F884" s="23"/>
    </row>
    <row r="885" spans="1:6" ht="16.5">
      <c r="A885" s="23"/>
      <c r="B885" s="23"/>
      <c r="C885" s="23"/>
      <c r="D885" s="23"/>
      <c r="E885" s="23"/>
      <c r="F885" s="23"/>
    </row>
    <row r="886" spans="1:6" ht="16.5">
      <c r="A886" s="23"/>
      <c r="B886" s="23"/>
      <c r="C886" s="23"/>
      <c r="D886" s="23"/>
      <c r="E886" s="23"/>
      <c r="F886" s="23"/>
    </row>
    <row r="887" spans="1:6" ht="16.5">
      <c r="A887" s="23"/>
      <c r="B887" s="23"/>
      <c r="C887" s="23"/>
      <c r="D887" s="23"/>
      <c r="E887" s="23"/>
      <c r="F887" s="23"/>
    </row>
    <row r="888" spans="1:6" ht="16.5">
      <c r="A888" s="23"/>
      <c r="B888" s="23"/>
      <c r="C888" s="23"/>
      <c r="D888" s="23"/>
      <c r="E888" s="23"/>
      <c r="F888" s="23"/>
    </row>
    <row r="889" spans="1:6" ht="16.5">
      <c r="A889" s="23"/>
      <c r="B889" s="23"/>
      <c r="C889" s="23"/>
      <c r="D889" s="23"/>
      <c r="E889" s="23"/>
      <c r="F889" s="23"/>
    </row>
    <row r="890" spans="1:6" ht="16.5">
      <c r="A890" s="23"/>
      <c r="B890" s="23"/>
      <c r="C890" s="23"/>
      <c r="D890" s="23"/>
      <c r="E890" s="23"/>
      <c r="F890" s="23"/>
    </row>
    <row r="891" spans="1:6" ht="16.5">
      <c r="A891" s="23"/>
      <c r="B891" s="23"/>
      <c r="C891" s="23"/>
      <c r="D891" s="23"/>
      <c r="E891" s="23"/>
      <c r="F891" s="23"/>
    </row>
    <row r="892" spans="1:6" ht="16.5">
      <c r="A892" s="23"/>
      <c r="B892" s="23"/>
      <c r="C892" s="23"/>
      <c r="D892" s="23"/>
      <c r="E892" s="23"/>
      <c r="F892" s="23"/>
    </row>
    <row r="893" spans="1:6" ht="16.5">
      <c r="A893" s="23"/>
      <c r="B893" s="23"/>
      <c r="C893" s="23"/>
      <c r="D893" s="23"/>
      <c r="E893" s="23"/>
      <c r="F893" s="23"/>
    </row>
    <row r="894" spans="1:6" ht="16.5">
      <c r="A894" s="23"/>
      <c r="B894" s="23"/>
      <c r="C894" s="23"/>
      <c r="D894" s="23"/>
      <c r="E894" s="23"/>
      <c r="F894" s="23"/>
    </row>
    <row r="895" spans="1:6" ht="16.5">
      <c r="A895" s="23"/>
      <c r="B895" s="23"/>
      <c r="C895" s="23"/>
      <c r="D895" s="23"/>
      <c r="E895" s="23"/>
      <c r="F895" s="23"/>
    </row>
    <row r="896" spans="1:6" ht="16.5">
      <c r="A896" s="23"/>
      <c r="B896" s="23"/>
      <c r="C896" s="23"/>
      <c r="D896" s="23"/>
      <c r="E896" s="23"/>
      <c r="F896" s="23"/>
    </row>
    <row r="897" spans="1:6" ht="16.5">
      <c r="A897" s="23"/>
      <c r="B897" s="23"/>
      <c r="C897" s="23"/>
      <c r="D897" s="23"/>
      <c r="E897" s="23"/>
      <c r="F897" s="23"/>
    </row>
    <row r="898" spans="1:6" ht="16.5">
      <c r="A898" s="23"/>
      <c r="B898" s="23"/>
      <c r="C898" s="23"/>
      <c r="D898" s="23"/>
      <c r="E898" s="23"/>
      <c r="F898" s="23"/>
    </row>
    <row r="899" spans="1:6" ht="16.5">
      <c r="A899" s="23"/>
      <c r="B899" s="23"/>
      <c r="C899" s="23"/>
      <c r="D899" s="23"/>
      <c r="E899" s="23"/>
      <c r="F899" s="23"/>
    </row>
    <row r="900" spans="1:6" ht="16.5">
      <c r="A900" s="23"/>
      <c r="B900" s="23"/>
      <c r="C900" s="23"/>
      <c r="D900" s="23"/>
      <c r="E900" s="23"/>
      <c r="F900" s="23"/>
    </row>
    <row r="901" spans="1:6" ht="16.5">
      <c r="A901" s="23"/>
      <c r="B901" s="23"/>
      <c r="C901" s="23"/>
      <c r="D901" s="23"/>
      <c r="E901" s="23"/>
      <c r="F901" s="23"/>
    </row>
    <row r="902" spans="1:6" ht="16.5">
      <c r="A902" s="23"/>
      <c r="B902" s="23"/>
      <c r="C902" s="23"/>
      <c r="D902" s="23"/>
      <c r="E902" s="23"/>
      <c r="F902" s="23"/>
    </row>
    <row r="903" spans="1:6" ht="16.5">
      <c r="A903" s="23"/>
      <c r="B903" s="23"/>
      <c r="C903" s="23"/>
      <c r="D903" s="23"/>
      <c r="E903" s="23"/>
      <c r="F903" s="23"/>
    </row>
    <row r="904" spans="1:6" ht="16.5">
      <c r="A904" s="23"/>
      <c r="B904" s="23"/>
      <c r="C904" s="23"/>
      <c r="D904" s="23"/>
      <c r="E904" s="23"/>
      <c r="F904" s="23"/>
    </row>
    <row r="905" spans="1:6" ht="16.5">
      <c r="A905" s="23"/>
      <c r="B905" s="23"/>
      <c r="C905" s="23"/>
      <c r="D905" s="23"/>
      <c r="E905" s="23"/>
      <c r="F905" s="23"/>
    </row>
    <row r="906" spans="1:6" ht="16.5">
      <c r="A906" s="23"/>
      <c r="B906" s="23"/>
      <c r="C906" s="23"/>
      <c r="D906" s="23"/>
      <c r="E906" s="23"/>
      <c r="F906" s="23"/>
    </row>
    <row r="907" spans="1:6" ht="16.5">
      <c r="A907" s="23"/>
      <c r="B907" s="23"/>
      <c r="C907" s="23"/>
      <c r="D907" s="23"/>
      <c r="E907" s="23"/>
      <c r="F907" s="23"/>
    </row>
    <row r="908" spans="1:6" ht="16.5">
      <c r="A908" s="23"/>
      <c r="B908" s="23"/>
      <c r="C908" s="23"/>
      <c r="D908" s="23"/>
      <c r="E908" s="23"/>
      <c r="F908" s="23"/>
    </row>
    <row r="909" spans="1:6" ht="16.5">
      <c r="A909" s="23"/>
      <c r="B909" s="23"/>
      <c r="C909" s="23"/>
      <c r="D909" s="23"/>
      <c r="E909" s="23"/>
      <c r="F909" s="23"/>
    </row>
    <row r="910" spans="1:6" ht="16.5">
      <c r="A910" s="23"/>
      <c r="B910" s="23"/>
      <c r="C910" s="23"/>
      <c r="D910" s="23"/>
      <c r="E910" s="23"/>
      <c r="F910" s="23"/>
    </row>
    <row r="911" spans="1:6" ht="16.5">
      <c r="A911" s="23"/>
      <c r="B911" s="23"/>
      <c r="C911" s="23"/>
      <c r="D911" s="23"/>
      <c r="E911" s="23"/>
      <c r="F911" s="23"/>
    </row>
    <row r="912" spans="1:6" ht="16.5">
      <c r="A912" s="23"/>
      <c r="B912" s="23"/>
      <c r="C912" s="23"/>
      <c r="D912" s="23"/>
      <c r="E912" s="23"/>
      <c r="F912" s="23"/>
    </row>
    <row r="913" spans="1:6" ht="16.5">
      <c r="A913" s="23"/>
      <c r="B913" s="23"/>
      <c r="C913" s="23"/>
      <c r="D913" s="23"/>
      <c r="E913" s="23"/>
      <c r="F913" s="23"/>
    </row>
    <row r="914" spans="1:6" ht="16.5">
      <c r="A914" s="23"/>
      <c r="B914" s="23"/>
      <c r="C914" s="23"/>
      <c r="D914" s="23"/>
      <c r="E914" s="23"/>
      <c r="F914" s="23"/>
    </row>
    <row r="915" spans="1:6" ht="16.5">
      <c r="A915" s="23"/>
      <c r="B915" s="23"/>
      <c r="C915" s="23"/>
      <c r="D915" s="23"/>
      <c r="E915" s="23"/>
      <c r="F915" s="23"/>
    </row>
    <row r="916" spans="1:6" ht="16.5">
      <c r="A916" s="23"/>
      <c r="B916" s="23"/>
      <c r="C916" s="23"/>
      <c r="D916" s="23"/>
      <c r="E916" s="23"/>
      <c r="F916" s="23"/>
    </row>
    <row r="917" spans="1:6" ht="16.5">
      <c r="A917" s="23"/>
      <c r="B917" s="23"/>
      <c r="C917" s="23"/>
      <c r="D917" s="23"/>
      <c r="E917" s="23"/>
      <c r="F917" s="23"/>
    </row>
    <row r="918" spans="1:6" ht="16.5">
      <c r="A918" s="23"/>
      <c r="B918" s="23"/>
      <c r="C918" s="23"/>
      <c r="D918" s="23"/>
      <c r="E918" s="23"/>
      <c r="F918" s="23"/>
    </row>
    <row r="919" spans="1:6" ht="16.5">
      <c r="A919" s="23"/>
      <c r="B919" s="23"/>
      <c r="C919" s="23"/>
      <c r="D919" s="23"/>
      <c r="E919" s="23"/>
      <c r="F919" s="23"/>
    </row>
    <row r="920" spans="1:6" ht="16.5">
      <c r="A920" s="23"/>
      <c r="B920" s="23"/>
      <c r="C920" s="23"/>
      <c r="D920" s="23"/>
      <c r="E920" s="23"/>
      <c r="F920" s="23"/>
    </row>
    <row r="921" spans="1:6" ht="16.5">
      <c r="A921" s="23"/>
      <c r="B921" s="23"/>
      <c r="C921" s="23"/>
      <c r="D921" s="23"/>
      <c r="E921" s="23"/>
      <c r="F921" s="23"/>
    </row>
    <row r="922" spans="1:6" ht="16.5">
      <c r="A922" s="23"/>
      <c r="B922" s="23"/>
      <c r="C922" s="23"/>
      <c r="D922" s="23"/>
      <c r="E922" s="23"/>
      <c r="F922" s="23"/>
    </row>
    <row r="923" spans="1:6" ht="16.5">
      <c r="A923" s="23"/>
      <c r="B923" s="23"/>
      <c r="C923" s="23"/>
      <c r="D923" s="23"/>
      <c r="E923" s="23"/>
      <c r="F923" s="23"/>
    </row>
    <row r="924" spans="1:6" ht="16.5">
      <c r="A924" s="23"/>
      <c r="B924" s="23"/>
      <c r="C924" s="23"/>
      <c r="D924" s="23"/>
      <c r="E924" s="23"/>
      <c r="F924" s="23"/>
    </row>
    <row r="925" spans="1:6" ht="16.5">
      <c r="A925" s="23"/>
      <c r="B925" s="23"/>
      <c r="C925" s="23"/>
      <c r="D925" s="23"/>
      <c r="E925" s="23"/>
      <c r="F925" s="23"/>
    </row>
    <row r="926" spans="1:6" ht="16.5">
      <c r="A926" s="23"/>
      <c r="B926" s="23"/>
      <c r="C926" s="23"/>
      <c r="D926" s="23"/>
      <c r="E926" s="23"/>
      <c r="F926" s="23"/>
    </row>
    <row r="927" spans="1:6" ht="16.5">
      <c r="A927" s="23"/>
      <c r="B927" s="23"/>
      <c r="C927" s="23"/>
      <c r="D927" s="23"/>
      <c r="E927" s="23"/>
      <c r="F927" s="23"/>
    </row>
    <row r="928" spans="1:6" ht="16.5">
      <c r="A928" s="23"/>
      <c r="B928" s="23"/>
      <c r="C928" s="23"/>
      <c r="D928" s="23"/>
      <c r="E928" s="23"/>
      <c r="F928" s="23"/>
    </row>
    <row r="929" spans="1:6" ht="16.5">
      <c r="A929" s="23"/>
      <c r="B929" s="23"/>
      <c r="C929" s="23"/>
      <c r="D929" s="23"/>
      <c r="E929" s="23"/>
      <c r="F929" s="23"/>
    </row>
    <row r="930" spans="1:6" ht="16.5">
      <c r="A930" s="23"/>
      <c r="B930" s="23"/>
      <c r="C930" s="23"/>
      <c r="D930" s="23"/>
      <c r="E930" s="23"/>
      <c r="F930" s="23"/>
    </row>
    <row r="931" spans="1:6" ht="16.5">
      <c r="A931" s="23"/>
      <c r="B931" s="23"/>
      <c r="C931" s="23"/>
      <c r="D931" s="23"/>
      <c r="E931" s="23"/>
      <c r="F931" s="23"/>
    </row>
    <row r="932" spans="1:6" ht="16.5">
      <c r="A932" s="23"/>
      <c r="B932" s="23"/>
      <c r="C932" s="23"/>
      <c r="D932" s="23"/>
      <c r="E932" s="23"/>
      <c r="F932" s="23"/>
    </row>
    <row r="933" spans="1:6" ht="16.5">
      <c r="A933" s="23"/>
      <c r="B933" s="23"/>
      <c r="C933" s="23"/>
      <c r="D933" s="23"/>
      <c r="E933" s="23"/>
      <c r="F933" s="23"/>
    </row>
    <row r="934" spans="1:6" ht="16.5">
      <c r="A934" s="23"/>
      <c r="B934" s="23"/>
      <c r="C934" s="23"/>
      <c r="D934" s="23"/>
      <c r="E934" s="23"/>
      <c r="F934" s="23"/>
    </row>
    <row r="935" spans="1:6" ht="16.5">
      <c r="A935" s="23"/>
      <c r="B935" s="23"/>
      <c r="C935" s="23"/>
      <c r="D935" s="23"/>
      <c r="E935" s="23"/>
      <c r="F935" s="23"/>
    </row>
    <row r="936" spans="1:6" ht="16.5">
      <c r="A936" s="23"/>
      <c r="B936" s="23"/>
      <c r="C936" s="23"/>
      <c r="D936" s="23"/>
      <c r="E936" s="23"/>
      <c r="F936" s="23"/>
    </row>
    <row r="937" spans="1:6" ht="16.5">
      <c r="A937" s="23"/>
      <c r="B937" s="23"/>
      <c r="C937" s="23"/>
      <c r="D937" s="23"/>
      <c r="E937" s="23"/>
      <c r="F937" s="23"/>
    </row>
    <row r="938" spans="1:6" ht="16.5">
      <c r="A938" s="23"/>
      <c r="B938" s="23"/>
      <c r="C938" s="23"/>
      <c r="D938" s="23"/>
      <c r="E938" s="23"/>
      <c r="F938" s="23"/>
    </row>
    <row r="939" spans="1:6" ht="16.5">
      <c r="A939" s="23"/>
      <c r="B939" s="23"/>
      <c r="C939" s="23"/>
      <c r="D939" s="23"/>
      <c r="E939" s="23"/>
      <c r="F939" s="23"/>
    </row>
    <row r="940" spans="1:6" ht="16.5">
      <c r="A940" s="23"/>
      <c r="B940" s="23"/>
      <c r="C940" s="23"/>
      <c r="D940" s="23"/>
      <c r="E940" s="23"/>
      <c r="F940" s="23"/>
    </row>
    <row r="941" spans="1:6" ht="16.5">
      <c r="A941" s="23"/>
      <c r="B941" s="23"/>
      <c r="C941" s="23"/>
      <c r="D941" s="23"/>
      <c r="E941" s="23"/>
      <c r="F941" s="23"/>
    </row>
    <row r="942" spans="1:6" ht="16.5">
      <c r="A942" s="23"/>
      <c r="B942" s="23"/>
      <c r="C942" s="23"/>
      <c r="D942" s="23"/>
      <c r="E942" s="23"/>
      <c r="F942" s="23"/>
    </row>
    <row r="943" spans="1:6" ht="16.5">
      <c r="A943" s="23"/>
      <c r="B943" s="23"/>
      <c r="C943" s="23"/>
      <c r="D943" s="23"/>
      <c r="E943" s="23"/>
      <c r="F943" s="23"/>
    </row>
    <row r="944" spans="1:6" ht="16.5">
      <c r="A944" s="23"/>
      <c r="B944" s="23"/>
      <c r="C944" s="23"/>
      <c r="D944" s="23"/>
      <c r="E944" s="23"/>
      <c r="F944" s="23"/>
    </row>
    <row r="945" spans="1:6" ht="16.5">
      <c r="A945" s="23"/>
      <c r="B945" s="23"/>
      <c r="C945" s="23"/>
      <c r="D945" s="23"/>
      <c r="E945" s="23"/>
      <c r="F945" s="23"/>
    </row>
    <row r="946" spans="1:6" ht="16.5">
      <c r="A946" s="23"/>
      <c r="B946" s="23"/>
      <c r="C946" s="23"/>
      <c r="D946" s="23"/>
      <c r="E946" s="23"/>
      <c r="F946" s="23"/>
    </row>
    <row r="947" spans="1:6" ht="16.5">
      <c r="A947" s="23"/>
      <c r="B947" s="23"/>
      <c r="C947" s="23"/>
      <c r="D947" s="23"/>
      <c r="E947" s="23"/>
      <c r="F947" s="23"/>
    </row>
    <row r="948" spans="1:6" ht="16.5">
      <c r="A948" s="23"/>
      <c r="B948" s="23"/>
      <c r="C948" s="23"/>
      <c r="D948" s="23"/>
      <c r="E948" s="23"/>
      <c r="F948" s="23"/>
    </row>
    <row r="949" spans="1:6" ht="16.5">
      <c r="A949" s="23"/>
      <c r="B949" s="23"/>
      <c r="C949" s="23"/>
      <c r="D949" s="23"/>
      <c r="E949" s="23"/>
      <c r="F949" s="23"/>
    </row>
    <row r="950" spans="1:6" ht="16.5">
      <c r="A950" s="23"/>
      <c r="B950" s="23"/>
      <c r="C950" s="23"/>
      <c r="D950" s="23"/>
      <c r="E950" s="23"/>
      <c r="F950" s="23"/>
    </row>
    <row r="951" spans="1:6" ht="16.5">
      <c r="A951" s="23"/>
      <c r="B951" s="23"/>
      <c r="C951" s="23"/>
      <c r="D951" s="23"/>
      <c r="E951" s="23"/>
      <c r="F951" s="23"/>
    </row>
    <row r="952" spans="1:6" ht="16.5">
      <c r="A952" s="23"/>
      <c r="B952" s="23"/>
      <c r="C952" s="23"/>
      <c r="D952" s="23"/>
      <c r="E952" s="23"/>
      <c r="F952" s="23"/>
    </row>
    <row r="953" spans="1:6" ht="16.5">
      <c r="A953" s="23"/>
      <c r="B953" s="23"/>
      <c r="C953" s="23"/>
      <c r="D953" s="23"/>
      <c r="E953" s="23"/>
      <c r="F953" s="23"/>
    </row>
    <row r="954" spans="1:6" ht="16.5">
      <c r="A954" s="23"/>
      <c r="B954" s="23"/>
      <c r="C954" s="23"/>
      <c r="D954" s="23"/>
      <c r="E954" s="23"/>
      <c r="F954" s="23"/>
    </row>
    <row r="955" spans="1:6" ht="16.5">
      <c r="A955" s="23"/>
      <c r="B955" s="23"/>
      <c r="C955" s="23"/>
      <c r="D955" s="23"/>
      <c r="E955" s="23"/>
      <c r="F955" s="23"/>
    </row>
    <row r="956" spans="1:6" ht="16.5">
      <c r="A956" s="23"/>
      <c r="B956" s="23"/>
      <c r="C956" s="23"/>
      <c r="D956" s="23"/>
      <c r="E956" s="23"/>
      <c r="F956" s="23"/>
    </row>
    <row r="957" spans="1:6" ht="16.5">
      <c r="A957" s="23"/>
      <c r="B957" s="23"/>
      <c r="C957" s="23"/>
      <c r="D957" s="23"/>
      <c r="E957" s="23"/>
      <c r="F957" s="23"/>
    </row>
    <row r="958" spans="1:6" ht="16.5">
      <c r="A958" s="23"/>
      <c r="B958" s="23"/>
      <c r="C958" s="23"/>
      <c r="D958" s="23"/>
      <c r="E958" s="23"/>
      <c r="F958" s="23"/>
    </row>
    <row r="959" spans="1:6" ht="16.5">
      <c r="A959" s="23"/>
      <c r="B959" s="23"/>
      <c r="C959" s="23"/>
      <c r="D959" s="23"/>
      <c r="E959" s="23"/>
      <c r="F959" s="23"/>
    </row>
    <row r="960" spans="1:6" ht="16.5">
      <c r="A960" s="23"/>
      <c r="B960" s="23"/>
      <c r="C960" s="23"/>
      <c r="D960" s="23"/>
      <c r="E960" s="23"/>
      <c r="F960" s="23"/>
    </row>
    <row r="961" spans="1:6" ht="16.5">
      <c r="A961" s="23"/>
      <c r="B961" s="23"/>
      <c r="C961" s="23"/>
      <c r="D961" s="23"/>
      <c r="E961" s="23"/>
      <c r="F961" s="23"/>
    </row>
    <row r="962" spans="1:6" ht="16.5">
      <c r="A962" s="23"/>
      <c r="B962" s="23"/>
      <c r="C962" s="23"/>
      <c r="D962" s="23"/>
      <c r="E962" s="23"/>
      <c r="F962" s="23"/>
    </row>
    <row r="963" spans="1:6" ht="16.5">
      <c r="A963" s="23"/>
      <c r="B963" s="23"/>
      <c r="C963" s="23"/>
      <c r="D963" s="23"/>
      <c r="E963" s="23"/>
      <c r="F963" s="23"/>
    </row>
    <row r="964" spans="1:6" ht="16.5">
      <c r="A964" s="23"/>
      <c r="B964" s="23"/>
      <c r="C964" s="23"/>
      <c r="D964" s="23"/>
      <c r="E964" s="23"/>
      <c r="F964" s="23"/>
    </row>
    <row r="965" spans="1:6" ht="16.5">
      <c r="A965" s="23"/>
      <c r="B965" s="23"/>
      <c r="C965" s="23"/>
      <c r="D965" s="23"/>
      <c r="E965" s="23"/>
      <c r="F965" s="23"/>
    </row>
    <row r="966" spans="1:6" ht="16.5">
      <c r="A966" s="23"/>
      <c r="B966" s="23"/>
      <c r="C966" s="23"/>
      <c r="D966" s="23"/>
      <c r="E966" s="23"/>
      <c r="F966" s="23"/>
    </row>
    <row r="967" spans="1:6" ht="16.5">
      <c r="A967" s="23"/>
      <c r="B967" s="23"/>
      <c r="C967" s="23"/>
      <c r="D967" s="23"/>
      <c r="E967" s="23"/>
      <c r="F967" s="23"/>
    </row>
    <row r="968" spans="1:6" ht="16.5">
      <c r="A968" s="23"/>
      <c r="B968" s="23"/>
      <c r="C968" s="23"/>
      <c r="D968" s="23"/>
      <c r="E968" s="23"/>
      <c r="F968" s="23"/>
    </row>
    <row r="969" spans="1:6" ht="16.5">
      <c r="A969" s="23"/>
      <c r="B969" s="23"/>
      <c r="C969" s="23"/>
      <c r="D969" s="23"/>
      <c r="E969" s="23"/>
      <c r="F969" s="23"/>
    </row>
    <row r="970" spans="1:6" ht="16.5">
      <c r="A970" s="23"/>
      <c r="B970" s="23"/>
      <c r="C970" s="23"/>
      <c r="D970" s="23"/>
      <c r="E970" s="23"/>
      <c r="F970" s="23"/>
    </row>
    <row r="971" spans="1:6" ht="16.5">
      <c r="A971" s="23"/>
      <c r="B971" s="23"/>
      <c r="C971" s="23"/>
      <c r="D971" s="23"/>
      <c r="E971" s="23"/>
      <c r="F971" s="23"/>
    </row>
    <row r="972" spans="1:6" ht="16.5">
      <c r="A972" s="23"/>
      <c r="B972" s="23"/>
      <c r="C972" s="23"/>
      <c r="D972" s="23"/>
      <c r="E972" s="23"/>
      <c r="F972" s="23"/>
    </row>
    <row r="973" spans="1:6" ht="16.5">
      <c r="A973" s="23"/>
      <c r="B973" s="23"/>
      <c r="C973" s="23"/>
      <c r="D973" s="23"/>
      <c r="E973" s="23"/>
      <c r="F973" s="23"/>
    </row>
    <row r="974" spans="1:6" ht="16.5">
      <c r="A974" s="23"/>
      <c r="B974" s="23"/>
      <c r="C974" s="23"/>
      <c r="D974" s="23"/>
      <c r="E974" s="23"/>
      <c r="F974" s="23"/>
    </row>
    <row r="975" spans="1:6" ht="16.5">
      <c r="A975" s="23"/>
      <c r="B975" s="23"/>
      <c r="C975" s="23"/>
      <c r="D975" s="23"/>
      <c r="E975" s="23"/>
      <c r="F975" s="23"/>
    </row>
    <row r="976" spans="1:6" ht="16.5">
      <c r="A976" s="23"/>
      <c r="B976" s="23"/>
      <c r="C976" s="23"/>
      <c r="D976" s="23"/>
      <c r="E976" s="23"/>
      <c r="F976" s="23"/>
    </row>
    <row r="977" spans="1:6" ht="16.5">
      <c r="A977" s="23"/>
      <c r="B977" s="23"/>
      <c r="C977" s="23"/>
      <c r="D977" s="23"/>
      <c r="E977" s="23"/>
      <c r="F977" s="23"/>
    </row>
    <row r="978" spans="1:6" ht="16.5">
      <c r="A978" s="23"/>
      <c r="B978" s="23"/>
      <c r="C978" s="23"/>
      <c r="D978" s="23"/>
      <c r="E978" s="23"/>
      <c r="F978" s="23"/>
    </row>
    <row r="979" spans="1:6" ht="16.5">
      <c r="A979" s="23"/>
      <c r="B979" s="23"/>
      <c r="C979" s="23"/>
      <c r="D979" s="23"/>
      <c r="E979" s="23"/>
      <c r="F979" s="23"/>
    </row>
    <row r="980" spans="1:6" ht="16.5">
      <c r="A980" s="23"/>
      <c r="B980" s="23"/>
      <c r="C980" s="23"/>
      <c r="D980" s="23"/>
      <c r="E980" s="23"/>
      <c r="F980" s="23"/>
    </row>
    <row r="981" spans="1:6" ht="16.5">
      <c r="A981" s="23"/>
      <c r="B981" s="23"/>
      <c r="C981" s="23"/>
      <c r="D981" s="23"/>
      <c r="E981" s="23"/>
      <c r="F981" s="23"/>
    </row>
    <row r="982" spans="1:6" ht="16.5">
      <c r="A982" s="23"/>
      <c r="B982" s="23"/>
      <c r="C982" s="23"/>
      <c r="D982" s="23"/>
      <c r="E982" s="23"/>
      <c r="F982" s="23"/>
    </row>
    <row r="983" spans="1:6" ht="16.5">
      <c r="A983" s="23"/>
      <c r="B983" s="23"/>
      <c r="C983" s="23"/>
      <c r="D983" s="23"/>
      <c r="E983" s="23"/>
      <c r="F983" s="23"/>
    </row>
    <row r="984" spans="1:6" ht="16.5">
      <c r="A984" s="23"/>
      <c r="B984" s="23"/>
      <c r="C984" s="23"/>
      <c r="D984" s="23"/>
      <c r="E984" s="23"/>
      <c r="F984" s="23"/>
    </row>
    <row r="985" spans="1:6" ht="16.5">
      <c r="A985" s="23"/>
      <c r="B985" s="23"/>
      <c r="C985" s="23"/>
      <c r="D985" s="23"/>
      <c r="E985" s="23"/>
      <c r="F985" s="23"/>
    </row>
    <row r="986" spans="1:6" ht="16.5">
      <c r="A986" s="23"/>
      <c r="B986" s="23"/>
      <c r="C986" s="23"/>
      <c r="D986" s="23"/>
      <c r="E986" s="23"/>
      <c r="F986" s="23"/>
    </row>
    <row r="987" spans="1:6" ht="16.5">
      <c r="A987" s="23"/>
      <c r="B987" s="23"/>
      <c r="C987" s="23"/>
      <c r="D987" s="23"/>
      <c r="E987" s="23"/>
      <c r="F987" s="23"/>
    </row>
    <row r="988" spans="1:6" ht="16.5">
      <c r="A988" s="23"/>
      <c r="B988" s="23"/>
      <c r="C988" s="23"/>
      <c r="D988" s="23"/>
      <c r="E988" s="23"/>
      <c r="F988" s="23"/>
    </row>
    <row r="989" spans="1:6" ht="16.5">
      <c r="A989" s="23"/>
      <c r="B989" s="23"/>
      <c r="C989" s="23"/>
      <c r="D989" s="23"/>
      <c r="E989" s="23"/>
      <c r="F989" s="23"/>
    </row>
    <row r="990" spans="1:6" ht="16.5">
      <c r="A990" s="23"/>
      <c r="B990" s="23"/>
      <c r="C990" s="23"/>
      <c r="D990" s="23"/>
      <c r="E990" s="23"/>
      <c r="F990" s="23"/>
    </row>
    <row r="991" spans="1:6" ht="16.5">
      <c r="A991" s="23"/>
      <c r="B991" s="23"/>
      <c r="C991" s="23"/>
      <c r="D991" s="23"/>
      <c r="E991" s="23"/>
      <c r="F991" s="23"/>
    </row>
    <row r="992" spans="1:6" ht="16.5">
      <c r="A992" s="23"/>
      <c r="B992" s="23"/>
      <c r="C992" s="23"/>
      <c r="D992" s="23"/>
      <c r="E992" s="23"/>
      <c r="F992" s="23"/>
    </row>
    <row r="993" spans="1:6" ht="16.5">
      <c r="A993" s="23"/>
      <c r="B993" s="23"/>
      <c r="C993" s="23"/>
      <c r="D993" s="23"/>
      <c r="E993" s="23"/>
      <c r="F993" s="23"/>
    </row>
    <row r="994" spans="1:6" ht="16.5">
      <c r="A994" s="23"/>
      <c r="B994" s="23"/>
      <c r="C994" s="23"/>
      <c r="D994" s="23"/>
      <c r="E994" s="23"/>
      <c r="F994" s="23"/>
    </row>
    <row r="995" spans="1:6" ht="16.5">
      <c r="A995" s="23"/>
      <c r="B995" s="23"/>
      <c r="C995" s="23"/>
      <c r="D995" s="23"/>
      <c r="E995" s="23"/>
      <c r="F995" s="23"/>
    </row>
    <row r="996" spans="1:6" ht="16.5">
      <c r="A996" s="23"/>
      <c r="B996" s="23"/>
      <c r="C996" s="23"/>
      <c r="D996" s="23"/>
      <c r="E996" s="23"/>
      <c r="F996" s="23"/>
    </row>
    <row r="997" spans="1:6" ht="16.5">
      <c r="A997" s="23"/>
      <c r="B997" s="23"/>
      <c r="C997" s="23"/>
      <c r="D997" s="23"/>
      <c r="E997" s="23"/>
      <c r="F997" s="23"/>
    </row>
    <row r="998" spans="1:6" ht="16.5">
      <c r="A998" s="23"/>
      <c r="B998" s="23"/>
      <c r="C998" s="23"/>
      <c r="D998" s="23"/>
      <c r="E998" s="23"/>
      <c r="F998" s="23"/>
    </row>
    <row r="999" spans="1:6" ht="16.5">
      <c r="A999" s="23"/>
      <c r="B999" s="23"/>
      <c r="C999" s="23"/>
      <c r="D999" s="23"/>
      <c r="E999" s="23"/>
      <c r="F999" s="23"/>
    </row>
    <row r="1000" spans="1:6" ht="16.5">
      <c r="A1000" s="23"/>
      <c r="B1000" s="23"/>
      <c r="C1000" s="23"/>
      <c r="D1000" s="23"/>
      <c r="E1000" s="23"/>
      <c r="F1000" s="23"/>
    </row>
    <row r="1001" spans="1:6" ht="16.5">
      <c r="A1001" s="23"/>
      <c r="B1001" s="23"/>
      <c r="C1001" s="23"/>
      <c r="D1001" s="23"/>
      <c r="E1001" s="23"/>
      <c r="F1001" s="23"/>
    </row>
    <row r="1002" spans="1:6" ht="16.5">
      <c r="A1002" s="23"/>
      <c r="B1002" s="23"/>
      <c r="C1002" s="23"/>
      <c r="D1002" s="23"/>
      <c r="E1002" s="23"/>
      <c r="F1002" s="23"/>
    </row>
    <row r="1003" spans="1:6" ht="16.5">
      <c r="A1003" s="23"/>
      <c r="B1003" s="23"/>
      <c r="C1003" s="23"/>
      <c r="D1003" s="23"/>
      <c r="E1003" s="23"/>
      <c r="F1003" s="23"/>
    </row>
    <row r="1004" spans="1:6" ht="16.5">
      <c r="A1004" s="23"/>
      <c r="B1004" s="23"/>
      <c r="C1004" s="23"/>
      <c r="D1004" s="23"/>
      <c r="E1004" s="23"/>
      <c r="F1004" s="23"/>
    </row>
    <row r="1005" spans="1:6" ht="16.5">
      <c r="A1005" s="23"/>
      <c r="B1005" s="23"/>
      <c r="C1005" s="23"/>
      <c r="D1005" s="23"/>
      <c r="E1005" s="23"/>
      <c r="F1005" s="23"/>
    </row>
    <row r="1006" spans="1:6" ht="16.5">
      <c r="A1006" s="23"/>
      <c r="B1006" s="23"/>
      <c r="C1006" s="23"/>
      <c r="D1006" s="23"/>
      <c r="E1006" s="23"/>
      <c r="F1006" s="23"/>
    </row>
    <row r="1007" spans="1:6" ht="16.5">
      <c r="A1007" s="23"/>
      <c r="B1007" s="23"/>
      <c r="C1007" s="23"/>
      <c r="D1007" s="23"/>
      <c r="E1007" s="23"/>
      <c r="F1007" s="23"/>
    </row>
    <row r="1008" spans="1:6" ht="16.5">
      <c r="A1008" s="23"/>
      <c r="B1008" s="23"/>
      <c r="C1008" s="23"/>
      <c r="D1008" s="23"/>
      <c r="E1008" s="23"/>
      <c r="F1008" s="23"/>
    </row>
    <row r="1009" spans="1:6" ht="16.5">
      <c r="A1009" s="23"/>
      <c r="B1009" s="23"/>
      <c r="C1009" s="23"/>
      <c r="D1009" s="23"/>
      <c r="E1009" s="23"/>
      <c r="F1009" s="23"/>
    </row>
    <row r="1010" spans="1:6" ht="16.5">
      <c r="A1010" s="23"/>
      <c r="B1010" s="23"/>
      <c r="C1010" s="23"/>
      <c r="D1010" s="23"/>
      <c r="E1010" s="23"/>
      <c r="F1010" s="23"/>
    </row>
    <row r="1011" spans="1:6" ht="16.5">
      <c r="A1011" s="23"/>
      <c r="B1011" s="23"/>
      <c r="C1011" s="23"/>
      <c r="D1011" s="23"/>
      <c r="E1011" s="23"/>
      <c r="F1011" s="23"/>
    </row>
    <row r="1012" spans="1:6" ht="16.5">
      <c r="A1012" s="23"/>
      <c r="B1012" s="23"/>
      <c r="C1012" s="23"/>
      <c r="D1012" s="23"/>
      <c r="E1012" s="23"/>
      <c r="F1012" s="23"/>
    </row>
    <row r="1013" spans="1:6" ht="16.5">
      <c r="A1013" s="23"/>
      <c r="B1013" s="23"/>
      <c r="C1013" s="23"/>
      <c r="D1013" s="23"/>
      <c r="E1013" s="23"/>
      <c r="F1013" s="23"/>
    </row>
    <row r="1014" spans="1:6" ht="16.5">
      <c r="A1014" s="23"/>
      <c r="B1014" s="23"/>
      <c r="C1014" s="23"/>
      <c r="D1014" s="23"/>
      <c r="E1014" s="23"/>
      <c r="F1014" s="23"/>
    </row>
    <row r="1015" spans="1:6" ht="16.5">
      <c r="A1015" s="23"/>
      <c r="B1015" s="23"/>
      <c r="C1015" s="23"/>
      <c r="D1015" s="23"/>
      <c r="E1015" s="23"/>
      <c r="F1015" s="23"/>
    </row>
    <row r="1016" spans="1:6" ht="16.5">
      <c r="A1016" s="23"/>
      <c r="B1016" s="23"/>
      <c r="C1016" s="23"/>
      <c r="D1016" s="23"/>
      <c r="E1016" s="23"/>
      <c r="F1016" s="23"/>
    </row>
    <row r="1017" spans="1:6" ht="16.5">
      <c r="A1017" s="23"/>
      <c r="B1017" s="23"/>
      <c r="C1017" s="23"/>
      <c r="D1017" s="23"/>
      <c r="E1017" s="23"/>
      <c r="F1017" s="23"/>
    </row>
    <row r="1018" spans="1:6" ht="16.5">
      <c r="A1018" s="23"/>
      <c r="B1018" s="23"/>
      <c r="C1018" s="23"/>
      <c r="D1018" s="23"/>
      <c r="E1018" s="23"/>
      <c r="F1018" s="23"/>
    </row>
    <row r="1019" spans="1:6" ht="16.5">
      <c r="A1019" s="23"/>
      <c r="B1019" s="23"/>
      <c r="C1019" s="23"/>
      <c r="D1019" s="23"/>
      <c r="E1019" s="23"/>
      <c r="F1019" s="23"/>
    </row>
    <row r="1020" spans="1:6" ht="16.5">
      <c r="A1020" s="23"/>
      <c r="B1020" s="23"/>
      <c r="C1020" s="23"/>
      <c r="D1020" s="23"/>
      <c r="E1020" s="23"/>
      <c r="F1020" s="23"/>
    </row>
    <row r="1021" spans="1:6" ht="16.5">
      <c r="A1021" s="23"/>
      <c r="B1021" s="23"/>
      <c r="C1021" s="23"/>
      <c r="D1021" s="23"/>
      <c r="E1021" s="23"/>
      <c r="F1021" s="23"/>
    </row>
    <row r="1022" spans="1:6" ht="16.5">
      <c r="A1022" s="23"/>
      <c r="B1022" s="23"/>
      <c r="C1022" s="23"/>
      <c r="D1022" s="23"/>
      <c r="E1022" s="23"/>
      <c r="F1022" s="23"/>
    </row>
    <row r="1023" spans="1:6" ht="16.5">
      <c r="A1023" s="23"/>
      <c r="B1023" s="23"/>
      <c r="C1023" s="23"/>
      <c r="D1023" s="23"/>
      <c r="E1023" s="23"/>
      <c r="F1023" s="23"/>
    </row>
    <row r="1024" spans="1:6" ht="16.5">
      <c r="A1024" s="23"/>
      <c r="B1024" s="23"/>
      <c r="C1024" s="23"/>
      <c r="D1024" s="23"/>
      <c r="E1024" s="23"/>
      <c r="F1024" s="23"/>
    </row>
    <row r="1025" spans="1:6" ht="16.5">
      <c r="A1025" s="23"/>
      <c r="B1025" s="23"/>
      <c r="C1025" s="23"/>
      <c r="D1025" s="23"/>
      <c r="E1025" s="23"/>
      <c r="F1025" s="23"/>
    </row>
    <row r="1026" spans="1:6" ht="16.5">
      <c r="A1026" s="23"/>
      <c r="B1026" s="23"/>
      <c r="C1026" s="23"/>
      <c r="D1026" s="23"/>
      <c r="E1026" s="23"/>
      <c r="F1026" s="23"/>
    </row>
    <row r="1027" spans="1:6" ht="16.5">
      <c r="A1027" s="23"/>
      <c r="B1027" s="23"/>
      <c r="C1027" s="23"/>
      <c r="D1027" s="23"/>
      <c r="E1027" s="23"/>
      <c r="F1027" s="23"/>
    </row>
    <row r="1028" spans="1:6" ht="16.5">
      <c r="A1028" s="23"/>
      <c r="B1028" s="23"/>
      <c r="C1028" s="23"/>
      <c r="D1028" s="23"/>
      <c r="E1028" s="23"/>
      <c r="F1028" s="23"/>
    </row>
    <row r="1029" spans="1:6" ht="16.5">
      <c r="A1029" s="23"/>
      <c r="B1029" s="23"/>
      <c r="C1029" s="23"/>
      <c r="D1029" s="23"/>
      <c r="E1029" s="23"/>
      <c r="F1029" s="23"/>
    </row>
    <row r="1030" spans="1:6" ht="16.5">
      <c r="A1030" s="23"/>
      <c r="B1030" s="23"/>
      <c r="C1030" s="23"/>
      <c r="D1030" s="23"/>
      <c r="E1030" s="23"/>
      <c r="F1030" s="23"/>
    </row>
    <row r="1031" spans="1:6" ht="16.5">
      <c r="A1031" s="23"/>
      <c r="B1031" s="23"/>
      <c r="C1031" s="23"/>
      <c r="D1031" s="23"/>
      <c r="E1031" s="23"/>
      <c r="F1031" s="23"/>
    </row>
    <row r="1032" spans="1:6" ht="16.5">
      <c r="A1032" s="23"/>
      <c r="B1032" s="23"/>
      <c r="C1032" s="23"/>
      <c r="D1032" s="23"/>
      <c r="E1032" s="23"/>
      <c r="F1032" s="23"/>
    </row>
    <row r="1033" spans="1:6" ht="16.5">
      <c r="A1033" s="23"/>
      <c r="B1033" s="23"/>
      <c r="C1033" s="23"/>
      <c r="D1033" s="23"/>
      <c r="E1033" s="23"/>
      <c r="F1033" s="23"/>
    </row>
    <row r="1034" spans="1:6" ht="16.5">
      <c r="A1034" s="23"/>
      <c r="B1034" s="23"/>
      <c r="C1034" s="23"/>
      <c r="D1034" s="23"/>
      <c r="E1034" s="23"/>
      <c r="F1034" s="23"/>
    </row>
    <row r="1035" spans="1:6" ht="16.5">
      <c r="A1035" s="23"/>
      <c r="B1035" s="23"/>
      <c r="C1035" s="23"/>
      <c r="D1035" s="23"/>
      <c r="E1035" s="23"/>
      <c r="F1035" s="23"/>
    </row>
    <row r="1036" spans="1:6" ht="16.5">
      <c r="A1036" s="23"/>
      <c r="B1036" s="23"/>
      <c r="C1036" s="23"/>
      <c r="D1036" s="23"/>
      <c r="E1036" s="23"/>
      <c r="F1036" s="23"/>
    </row>
    <row r="1037" spans="1:6" ht="16.5">
      <c r="A1037" s="23"/>
      <c r="B1037" s="23"/>
      <c r="C1037" s="23"/>
      <c r="D1037" s="23"/>
      <c r="E1037" s="23"/>
      <c r="F1037" s="23"/>
    </row>
    <row r="1038" spans="1:6" ht="16.5">
      <c r="A1038" s="23"/>
      <c r="B1038" s="23"/>
      <c r="C1038" s="23"/>
      <c r="D1038" s="23"/>
      <c r="E1038" s="23"/>
      <c r="F1038" s="23"/>
    </row>
    <row r="1039" spans="1:6" ht="16.5">
      <c r="A1039" s="23"/>
      <c r="B1039" s="23"/>
      <c r="C1039" s="23"/>
      <c r="D1039" s="23"/>
      <c r="E1039" s="23"/>
      <c r="F1039" s="23"/>
    </row>
    <row r="1040" spans="1:6" ht="16.5">
      <c r="A1040" s="23"/>
      <c r="B1040" s="23"/>
      <c r="C1040" s="23"/>
      <c r="D1040" s="23"/>
      <c r="E1040" s="23"/>
      <c r="F1040" s="23"/>
    </row>
    <row r="1041" spans="1:6" ht="16.5">
      <c r="A1041" s="23"/>
      <c r="B1041" s="23"/>
      <c r="C1041" s="23"/>
      <c r="D1041" s="23"/>
      <c r="E1041" s="23"/>
      <c r="F1041" s="23"/>
    </row>
    <row r="1042" spans="1:6" ht="16.5">
      <c r="A1042" s="23"/>
      <c r="B1042" s="23"/>
      <c r="C1042" s="23"/>
      <c r="D1042" s="23"/>
      <c r="E1042" s="23"/>
      <c r="F1042" s="23"/>
    </row>
    <row r="1043" spans="1:6" ht="16.5">
      <c r="A1043" s="23"/>
      <c r="B1043" s="23"/>
      <c r="C1043" s="23"/>
      <c r="D1043" s="23"/>
      <c r="E1043" s="23"/>
      <c r="F1043" s="23"/>
    </row>
    <row r="1044" spans="1:6" ht="16.5">
      <c r="A1044" s="23"/>
      <c r="B1044" s="23"/>
      <c r="C1044" s="23"/>
      <c r="D1044" s="23"/>
      <c r="E1044" s="23"/>
      <c r="F1044" s="23"/>
    </row>
    <row r="1045" spans="1:6" ht="16.5">
      <c r="A1045" s="23"/>
      <c r="B1045" s="23"/>
      <c r="C1045" s="23"/>
      <c r="D1045" s="23"/>
      <c r="E1045" s="23"/>
      <c r="F1045" s="23"/>
    </row>
    <row r="1046" spans="1:6" ht="16.5">
      <c r="A1046" s="23"/>
      <c r="B1046" s="23"/>
      <c r="C1046" s="23"/>
      <c r="D1046" s="23"/>
      <c r="E1046" s="23"/>
      <c r="F1046" s="23"/>
    </row>
    <row r="1047" spans="1:6" ht="16.5">
      <c r="A1047" s="23"/>
      <c r="B1047" s="23"/>
      <c r="C1047" s="23"/>
      <c r="D1047" s="23"/>
      <c r="E1047" s="23"/>
      <c r="F1047" s="23"/>
    </row>
    <row r="1048" spans="1:6" ht="16.5">
      <c r="A1048" s="23"/>
      <c r="B1048" s="23"/>
      <c r="C1048" s="23"/>
      <c r="D1048" s="23"/>
      <c r="E1048" s="23"/>
      <c r="F1048" s="23"/>
    </row>
    <row r="1049" spans="1:6" ht="16.5">
      <c r="A1049" s="23"/>
      <c r="B1049" s="23"/>
      <c r="C1049" s="23"/>
      <c r="D1049" s="23"/>
      <c r="E1049" s="23"/>
      <c r="F1049" s="23"/>
    </row>
    <row r="1050" spans="1:6" ht="16.5">
      <c r="A1050" s="23"/>
      <c r="B1050" s="23"/>
      <c r="C1050" s="23"/>
      <c r="D1050" s="23"/>
      <c r="E1050" s="23"/>
      <c r="F1050" s="23"/>
    </row>
    <row r="1051" spans="1:6" ht="16.5">
      <c r="A1051" s="23"/>
      <c r="B1051" s="23"/>
      <c r="C1051" s="23"/>
      <c r="D1051" s="23"/>
      <c r="E1051" s="23"/>
      <c r="F1051" s="23"/>
    </row>
    <row r="1052" spans="1:6" ht="16.5">
      <c r="A1052" s="23"/>
      <c r="B1052" s="23"/>
      <c r="C1052" s="23"/>
      <c r="D1052" s="23"/>
      <c r="E1052" s="23"/>
      <c r="F1052" s="23"/>
    </row>
    <row r="1053" spans="1:6" ht="16.5">
      <c r="A1053" s="23"/>
      <c r="B1053" s="23"/>
      <c r="C1053" s="23"/>
      <c r="D1053" s="23"/>
      <c r="E1053" s="23"/>
      <c r="F1053" s="23"/>
    </row>
    <row r="1054" spans="1:6" ht="16.5">
      <c r="A1054" s="23"/>
      <c r="B1054" s="23"/>
      <c r="C1054" s="23"/>
      <c r="D1054" s="23"/>
      <c r="E1054" s="23"/>
      <c r="F1054" s="23"/>
    </row>
    <row r="1055" spans="1:6" ht="16.5">
      <c r="A1055" s="23"/>
      <c r="B1055" s="23"/>
      <c r="C1055" s="23"/>
      <c r="D1055" s="23"/>
      <c r="E1055" s="23"/>
      <c r="F1055" s="23"/>
    </row>
    <row r="1056" spans="1:6" ht="16.5">
      <c r="A1056" s="23"/>
      <c r="B1056" s="23"/>
      <c r="C1056" s="23"/>
      <c r="D1056" s="23"/>
      <c r="E1056" s="23"/>
      <c r="F1056" s="23"/>
    </row>
    <row r="1057" spans="1:6" ht="16.5">
      <c r="A1057" s="23"/>
      <c r="B1057" s="23"/>
      <c r="C1057" s="23"/>
      <c r="D1057" s="23"/>
      <c r="E1057" s="23"/>
      <c r="F1057" s="23"/>
    </row>
    <row r="1058" spans="1:6" ht="16.5">
      <c r="A1058" s="23"/>
      <c r="B1058" s="23"/>
      <c r="C1058" s="23"/>
      <c r="D1058" s="23"/>
      <c r="E1058" s="23"/>
      <c r="F1058" s="23"/>
    </row>
    <row r="1059" spans="1:6" ht="16.5">
      <c r="A1059" s="23"/>
      <c r="B1059" s="23"/>
      <c r="C1059" s="23"/>
      <c r="D1059" s="23"/>
      <c r="E1059" s="23"/>
      <c r="F1059" s="23"/>
    </row>
    <row r="1060" spans="1:6" ht="16.5">
      <c r="A1060" s="23"/>
      <c r="B1060" s="23"/>
      <c r="C1060" s="23"/>
      <c r="D1060" s="23"/>
      <c r="E1060" s="23"/>
      <c r="F1060" s="23"/>
    </row>
    <row r="1061" spans="1:6" ht="16.5">
      <c r="A1061" s="23"/>
      <c r="B1061" s="23"/>
      <c r="C1061" s="23"/>
      <c r="D1061" s="23"/>
      <c r="E1061" s="23"/>
      <c r="F1061" s="23"/>
    </row>
    <row r="1062" spans="1:6" ht="16.5">
      <c r="A1062" s="23"/>
      <c r="B1062" s="23"/>
      <c r="C1062" s="23"/>
      <c r="D1062" s="23"/>
      <c r="E1062" s="23"/>
      <c r="F1062" s="23"/>
    </row>
    <row r="1063" spans="1:6" ht="16.5">
      <c r="A1063" s="23"/>
      <c r="B1063" s="23"/>
      <c r="C1063" s="23"/>
      <c r="D1063" s="23"/>
      <c r="E1063" s="23"/>
      <c r="F1063" s="23"/>
    </row>
    <row r="1064" spans="1:6" ht="16.5">
      <c r="A1064" s="23"/>
      <c r="B1064" s="23"/>
      <c r="C1064" s="23"/>
      <c r="D1064" s="23"/>
      <c r="E1064" s="23"/>
      <c r="F1064" s="23"/>
    </row>
    <row r="1065" spans="1:6" ht="16.5">
      <c r="A1065" s="23"/>
      <c r="B1065" s="23"/>
      <c r="C1065" s="23"/>
      <c r="D1065" s="23"/>
      <c r="E1065" s="23"/>
      <c r="F1065" s="23"/>
    </row>
    <row r="1066" spans="1:6" ht="16.5">
      <c r="A1066" s="23"/>
      <c r="B1066" s="23"/>
      <c r="C1066" s="23"/>
      <c r="D1066" s="23"/>
      <c r="E1066" s="23"/>
      <c r="F1066" s="23"/>
    </row>
    <row r="1067" spans="1:6" ht="16.5">
      <c r="A1067" s="23"/>
      <c r="B1067" s="23"/>
      <c r="C1067" s="23"/>
      <c r="D1067" s="23"/>
      <c r="E1067" s="23"/>
      <c r="F1067" s="23"/>
    </row>
    <row r="1068" spans="1:6" ht="16.5">
      <c r="A1068" s="23"/>
      <c r="B1068" s="23"/>
      <c r="C1068" s="23"/>
      <c r="D1068" s="23"/>
      <c r="E1068" s="23"/>
      <c r="F1068" s="23"/>
    </row>
    <row r="1069" spans="1:6" ht="16.5">
      <c r="A1069" s="23"/>
      <c r="B1069" s="23"/>
      <c r="C1069" s="23"/>
      <c r="D1069" s="23"/>
      <c r="E1069" s="23"/>
      <c r="F1069" s="23"/>
    </row>
    <row r="1070" spans="1:6" ht="16.5">
      <c r="A1070" s="23"/>
      <c r="B1070" s="23"/>
      <c r="C1070" s="23"/>
      <c r="D1070" s="23"/>
      <c r="E1070" s="23"/>
      <c r="F1070" s="23"/>
    </row>
    <row r="1071" spans="1:6" ht="16.5">
      <c r="A1071" s="23"/>
      <c r="B1071" s="23"/>
      <c r="C1071" s="23"/>
      <c r="D1071" s="23"/>
      <c r="E1071" s="23"/>
      <c r="F1071" s="23"/>
    </row>
    <row r="1072" spans="1:6" ht="16.5">
      <c r="A1072" s="23"/>
      <c r="B1072" s="23"/>
      <c r="C1072" s="23"/>
      <c r="D1072" s="23"/>
      <c r="E1072" s="23"/>
      <c r="F1072" s="23"/>
    </row>
    <row r="1073" spans="1:6" ht="16.5">
      <c r="A1073" s="23"/>
      <c r="B1073" s="23"/>
      <c r="C1073" s="23"/>
      <c r="D1073" s="23"/>
      <c r="E1073" s="23"/>
      <c r="F1073" s="23"/>
    </row>
    <row r="1074" spans="1:6" ht="16.5">
      <c r="A1074" s="23"/>
      <c r="B1074" s="23"/>
      <c r="C1074" s="23"/>
      <c r="D1074" s="23"/>
      <c r="E1074" s="23"/>
      <c r="F1074" s="23"/>
    </row>
    <row r="1075" spans="1:6" ht="16.5">
      <c r="A1075" s="23"/>
      <c r="B1075" s="23"/>
      <c r="C1075" s="23"/>
      <c r="D1075" s="23"/>
      <c r="E1075" s="23"/>
      <c r="F1075" s="23"/>
    </row>
    <row r="1076" spans="1:6" ht="16.5">
      <c r="A1076" s="23"/>
      <c r="B1076" s="23"/>
      <c r="C1076" s="23"/>
      <c r="D1076" s="23"/>
      <c r="E1076" s="23"/>
      <c r="F1076" s="23"/>
    </row>
    <row r="1077" spans="1:6" ht="16.5">
      <c r="A1077" s="23"/>
      <c r="B1077" s="23"/>
      <c r="C1077" s="23"/>
      <c r="D1077" s="23"/>
      <c r="E1077" s="23"/>
      <c r="F1077" s="23"/>
    </row>
    <row r="1078" spans="1:6" ht="16.5">
      <c r="A1078" s="23"/>
      <c r="B1078" s="23"/>
      <c r="C1078" s="23"/>
      <c r="D1078" s="23"/>
      <c r="E1078" s="23"/>
      <c r="F1078" s="23"/>
    </row>
    <row r="1079" spans="1:6" ht="16.5">
      <c r="A1079" s="23"/>
      <c r="B1079" s="23"/>
      <c r="C1079" s="23"/>
      <c r="D1079" s="23"/>
      <c r="E1079" s="23"/>
      <c r="F1079" s="23"/>
    </row>
    <row r="1080" spans="1:6" ht="16.5">
      <c r="A1080" s="23"/>
      <c r="B1080" s="23"/>
      <c r="C1080" s="23"/>
      <c r="D1080" s="23"/>
      <c r="E1080" s="23"/>
      <c r="F1080" s="23"/>
    </row>
    <row r="1081" spans="1:6" ht="16.5">
      <c r="A1081" s="23"/>
      <c r="B1081" s="23"/>
      <c r="C1081" s="23"/>
      <c r="D1081" s="23"/>
      <c r="E1081" s="23"/>
      <c r="F1081" s="23"/>
    </row>
    <row r="1082" spans="1:6" ht="16.5">
      <c r="A1082" s="23"/>
      <c r="B1082" s="23"/>
      <c r="C1082" s="23"/>
      <c r="D1082" s="23"/>
      <c r="E1082" s="23"/>
      <c r="F1082" s="23"/>
    </row>
    <row r="1083" spans="1:6" ht="16.5">
      <c r="A1083" s="23"/>
      <c r="B1083" s="23"/>
      <c r="C1083" s="23"/>
      <c r="D1083" s="23"/>
      <c r="E1083" s="23"/>
      <c r="F1083" s="23"/>
    </row>
    <row r="1084" spans="1:6" ht="16.5">
      <c r="A1084" s="23"/>
      <c r="B1084" s="23"/>
      <c r="C1084" s="23"/>
      <c r="D1084" s="23"/>
      <c r="E1084" s="23"/>
      <c r="F1084" s="23"/>
    </row>
    <row r="1085" spans="1:6" ht="16.5">
      <c r="A1085" s="23"/>
      <c r="B1085" s="23"/>
      <c r="C1085" s="23"/>
      <c r="D1085" s="23"/>
      <c r="E1085" s="23"/>
      <c r="F1085" s="23"/>
    </row>
    <row r="1086" spans="1:6" ht="16.5">
      <c r="A1086" s="23"/>
      <c r="B1086" s="23"/>
      <c r="C1086" s="23"/>
      <c r="D1086" s="23"/>
      <c r="E1086" s="23"/>
      <c r="F1086" s="23"/>
    </row>
    <row r="1087" spans="1:6" ht="16.5">
      <c r="A1087" s="23"/>
      <c r="B1087" s="23"/>
      <c r="C1087" s="23"/>
      <c r="D1087" s="23"/>
      <c r="E1087" s="23"/>
      <c r="F1087" s="23"/>
    </row>
    <row r="1088" spans="1:6" ht="16.5">
      <c r="A1088" s="23"/>
      <c r="B1088" s="23"/>
      <c r="C1088" s="23"/>
      <c r="D1088" s="23"/>
      <c r="E1088" s="23"/>
      <c r="F1088" s="23"/>
    </row>
    <row r="1089" spans="1:6" ht="16.5">
      <c r="A1089" s="23"/>
      <c r="B1089" s="23"/>
      <c r="C1089" s="23"/>
      <c r="D1089" s="23"/>
      <c r="E1089" s="23"/>
      <c r="F1089" s="23"/>
    </row>
    <row r="1090" spans="1:6" ht="16.5">
      <c r="A1090" s="23"/>
      <c r="B1090" s="23"/>
      <c r="C1090" s="23"/>
      <c r="D1090" s="23"/>
      <c r="E1090" s="23"/>
      <c r="F1090" s="23"/>
    </row>
    <row r="1091" spans="1:6" ht="16.5">
      <c r="A1091" s="23"/>
      <c r="B1091" s="23"/>
      <c r="C1091" s="23"/>
      <c r="D1091" s="23"/>
      <c r="E1091" s="23"/>
      <c r="F1091" s="23"/>
    </row>
    <row r="1092" spans="1:6" ht="16.5">
      <c r="A1092" s="23"/>
      <c r="B1092" s="23"/>
      <c r="C1092" s="23"/>
      <c r="D1092" s="23"/>
      <c r="E1092" s="23"/>
      <c r="F1092" s="23"/>
    </row>
    <row r="1093" spans="1:6" ht="16.5">
      <c r="A1093" s="23"/>
      <c r="B1093" s="23"/>
      <c r="C1093" s="23"/>
      <c r="D1093" s="23"/>
      <c r="E1093" s="23"/>
      <c r="F1093" s="23"/>
    </row>
    <row r="1094" spans="1:6" ht="16.5">
      <c r="A1094" s="23"/>
      <c r="B1094" s="23"/>
      <c r="C1094" s="23"/>
      <c r="D1094" s="23"/>
      <c r="E1094" s="23"/>
      <c r="F1094" s="23"/>
    </row>
    <row r="1095" spans="1:6" ht="16.5">
      <c r="A1095" s="23"/>
      <c r="B1095" s="23"/>
      <c r="C1095" s="23"/>
      <c r="D1095" s="23"/>
      <c r="E1095" s="23"/>
      <c r="F1095" s="23"/>
    </row>
    <row r="1096" spans="1:6" ht="16.5">
      <c r="A1096" s="23"/>
      <c r="B1096" s="23"/>
      <c r="C1096" s="23"/>
      <c r="D1096" s="23"/>
      <c r="E1096" s="23"/>
      <c r="F1096" s="23"/>
    </row>
    <row r="1097" spans="1:6" ht="16.5">
      <c r="A1097" s="23"/>
      <c r="B1097" s="23"/>
      <c r="C1097" s="23"/>
      <c r="D1097" s="23"/>
      <c r="E1097" s="23"/>
      <c r="F1097" s="23"/>
    </row>
    <row r="1098" spans="1:6" ht="16.5">
      <c r="A1098" s="23"/>
      <c r="B1098" s="23"/>
      <c r="C1098" s="23"/>
      <c r="D1098" s="23"/>
      <c r="E1098" s="23"/>
      <c r="F1098" s="23"/>
    </row>
    <row r="1099" spans="1:6" ht="16.5">
      <c r="A1099" s="23"/>
      <c r="B1099" s="23"/>
      <c r="C1099" s="23"/>
      <c r="D1099" s="23"/>
      <c r="E1099" s="23"/>
      <c r="F1099" s="23"/>
    </row>
    <row r="1100" spans="1:6" ht="16.5">
      <c r="A1100" s="23"/>
      <c r="B1100" s="23"/>
      <c r="C1100" s="23"/>
      <c r="D1100" s="23"/>
      <c r="E1100" s="23"/>
      <c r="F1100" s="23"/>
    </row>
    <row r="1101" spans="1:6" ht="16.5">
      <c r="A1101" s="23"/>
      <c r="B1101" s="23"/>
      <c r="C1101" s="23"/>
      <c r="D1101" s="23"/>
      <c r="E1101" s="23"/>
      <c r="F1101" s="23"/>
    </row>
    <row r="1102" spans="1:6" ht="16.5">
      <c r="A1102" s="23"/>
      <c r="B1102" s="23"/>
      <c r="C1102" s="23"/>
      <c r="D1102" s="23"/>
      <c r="E1102" s="23"/>
      <c r="F1102" s="23"/>
    </row>
    <row r="1103" spans="1:6" ht="16.5">
      <c r="A1103" s="23"/>
      <c r="B1103" s="23"/>
      <c r="C1103" s="23"/>
      <c r="D1103" s="23"/>
      <c r="E1103" s="23"/>
      <c r="F1103" s="23"/>
    </row>
    <row r="1104" spans="1:6" ht="16.5">
      <c r="A1104" s="23"/>
      <c r="B1104" s="23"/>
      <c r="C1104" s="23"/>
      <c r="D1104" s="23"/>
      <c r="E1104" s="23"/>
      <c r="F1104" s="23"/>
    </row>
    <row r="1105" spans="1:6" ht="16.5">
      <c r="A1105" s="23"/>
      <c r="B1105" s="23"/>
      <c r="C1105" s="23"/>
      <c r="D1105" s="23"/>
      <c r="E1105" s="23"/>
      <c r="F1105" s="23"/>
    </row>
    <row r="1106" spans="1:6" ht="16.5">
      <c r="A1106" s="23"/>
      <c r="B1106" s="23"/>
      <c r="C1106" s="23"/>
      <c r="D1106" s="23"/>
      <c r="E1106" s="23"/>
      <c r="F1106" s="23"/>
    </row>
    <row r="1107" spans="1:6" ht="16.5">
      <c r="A1107" s="23"/>
      <c r="B1107" s="23"/>
      <c r="C1107" s="23"/>
      <c r="D1107" s="23"/>
      <c r="E1107" s="23"/>
      <c r="F1107" s="23"/>
    </row>
    <row r="1108" spans="1:6" ht="16.5">
      <c r="A1108" s="23"/>
      <c r="B1108" s="23"/>
      <c r="C1108" s="23"/>
      <c r="D1108" s="23"/>
      <c r="E1108" s="23"/>
      <c r="F1108" s="23"/>
    </row>
    <row r="1109" spans="1:6" ht="16.5">
      <c r="A1109" s="23"/>
      <c r="B1109" s="23"/>
      <c r="C1109" s="23"/>
      <c r="D1109" s="23"/>
      <c r="E1109" s="23"/>
      <c r="F1109" s="23"/>
    </row>
    <row r="1110" spans="1:6" ht="16.5">
      <c r="A1110" s="23"/>
      <c r="B1110" s="23"/>
      <c r="C1110" s="23"/>
      <c r="D1110" s="23"/>
      <c r="E1110" s="23"/>
      <c r="F1110" s="23"/>
    </row>
    <row r="1111" spans="1:6" ht="16.5">
      <c r="A1111" s="23"/>
      <c r="B1111" s="23"/>
      <c r="C1111" s="23"/>
      <c r="D1111" s="23"/>
      <c r="E1111" s="23"/>
      <c r="F1111" s="23"/>
    </row>
    <row r="1112" spans="1:6" ht="16.5">
      <c r="A1112" s="23"/>
      <c r="B1112" s="23"/>
      <c r="C1112" s="23"/>
      <c r="D1112" s="23"/>
      <c r="E1112" s="23"/>
      <c r="F1112" s="23"/>
    </row>
    <row r="1113" spans="1:6" ht="16.5">
      <c r="A1113" s="23"/>
      <c r="B1113" s="23"/>
      <c r="C1113" s="23"/>
      <c r="D1113" s="23"/>
      <c r="E1113" s="23"/>
      <c r="F1113" s="23"/>
    </row>
    <row r="1114" spans="1:6" ht="16.5">
      <c r="A1114" s="23"/>
      <c r="B1114" s="23"/>
      <c r="C1114" s="23"/>
      <c r="D1114" s="23"/>
      <c r="E1114" s="23"/>
      <c r="F1114" s="23"/>
    </row>
    <row r="1115" spans="1:6" ht="16.5">
      <c r="A1115" s="23"/>
      <c r="B1115" s="23"/>
      <c r="C1115" s="23"/>
      <c r="D1115" s="23"/>
      <c r="E1115" s="23"/>
      <c r="F1115" s="23"/>
    </row>
    <row r="1116" spans="1:6" ht="16.5">
      <c r="A1116" s="23"/>
      <c r="B1116" s="23"/>
      <c r="C1116" s="23"/>
      <c r="D1116" s="23"/>
      <c r="E1116" s="23"/>
      <c r="F1116" s="23"/>
    </row>
    <row r="1117" spans="1:6" ht="16.5">
      <c r="A1117" s="23"/>
      <c r="B1117" s="23"/>
      <c r="C1117" s="23"/>
      <c r="D1117" s="23"/>
      <c r="E1117" s="23"/>
      <c r="F1117" s="23"/>
    </row>
    <row r="1118" spans="1:6" ht="16.5">
      <c r="A1118" s="23"/>
      <c r="B1118" s="23"/>
      <c r="C1118" s="23"/>
      <c r="D1118" s="23"/>
      <c r="E1118" s="23"/>
      <c r="F1118" s="23"/>
    </row>
    <row r="1119" spans="1:6" ht="16.5">
      <c r="A1119" s="23"/>
      <c r="B1119" s="23"/>
      <c r="C1119" s="23"/>
      <c r="D1119" s="23"/>
      <c r="E1119" s="23"/>
      <c r="F1119" s="23"/>
    </row>
    <row r="1120" spans="1:6" ht="16.5">
      <c r="A1120" s="23"/>
      <c r="B1120" s="23"/>
      <c r="C1120" s="23"/>
      <c r="D1120" s="23"/>
      <c r="E1120" s="23"/>
      <c r="F1120" s="23"/>
    </row>
    <row r="1121" spans="1:6" ht="16.5">
      <c r="A1121" s="23"/>
      <c r="B1121" s="23"/>
      <c r="C1121" s="23"/>
      <c r="D1121" s="23"/>
      <c r="E1121" s="23"/>
      <c r="F1121" s="23"/>
    </row>
    <row r="1122" spans="1:6" ht="16.5">
      <c r="A1122" s="23"/>
      <c r="B1122" s="23"/>
      <c r="C1122" s="23"/>
      <c r="D1122" s="23"/>
      <c r="E1122" s="23"/>
      <c r="F1122" s="23"/>
    </row>
    <row r="1123" spans="1:6" ht="16.5">
      <c r="A1123" s="23"/>
      <c r="B1123" s="23"/>
      <c r="C1123" s="23"/>
      <c r="D1123" s="23"/>
      <c r="E1123" s="23"/>
      <c r="F1123" s="23"/>
    </row>
    <row r="1124" spans="1:6" ht="16.5">
      <c r="A1124" s="23"/>
      <c r="B1124" s="23"/>
      <c r="C1124" s="23"/>
      <c r="D1124" s="23"/>
      <c r="E1124" s="23"/>
      <c r="F1124" s="23"/>
    </row>
    <row r="1125" spans="1:6" ht="16.5">
      <c r="A1125" s="23"/>
      <c r="B1125" s="23"/>
      <c r="C1125" s="23"/>
      <c r="D1125" s="23"/>
      <c r="E1125" s="23"/>
      <c r="F1125" s="23"/>
    </row>
    <row r="1126" spans="1:6" ht="16.5">
      <c r="A1126" s="23"/>
      <c r="B1126" s="23"/>
      <c r="C1126" s="23"/>
      <c r="D1126" s="23"/>
      <c r="E1126" s="23"/>
      <c r="F1126" s="23"/>
    </row>
    <row r="1127" spans="1:6" ht="16.5">
      <c r="A1127" s="23"/>
      <c r="B1127" s="23"/>
      <c r="C1127" s="23"/>
      <c r="D1127" s="23"/>
      <c r="E1127" s="23"/>
      <c r="F1127" s="23"/>
    </row>
    <row r="1128" spans="1:6" ht="16.5">
      <c r="A1128" s="23"/>
      <c r="B1128" s="23"/>
      <c r="C1128" s="23"/>
      <c r="D1128" s="23"/>
      <c r="E1128" s="23"/>
      <c r="F1128" s="23"/>
    </row>
    <row r="1129" spans="1:6" ht="16.5">
      <c r="A1129" s="23"/>
      <c r="B1129" s="23"/>
      <c r="C1129" s="23"/>
      <c r="D1129" s="23"/>
      <c r="E1129" s="23"/>
      <c r="F1129" s="23"/>
    </row>
    <row r="1130" spans="1:6" ht="16.5">
      <c r="A1130" s="23"/>
      <c r="B1130" s="23"/>
      <c r="C1130" s="23"/>
      <c r="D1130" s="23"/>
      <c r="E1130" s="23"/>
      <c r="F1130" s="23"/>
    </row>
    <row r="1131" spans="1:6" ht="16.5">
      <c r="A1131" s="23"/>
      <c r="B1131" s="23"/>
      <c r="C1131" s="23"/>
      <c r="D1131" s="23"/>
      <c r="E1131" s="23"/>
      <c r="F1131" s="23"/>
    </row>
    <row r="1132" spans="1:6" ht="16.5">
      <c r="A1132" s="23"/>
      <c r="B1132" s="23"/>
      <c r="C1132" s="23"/>
      <c r="D1132" s="23"/>
      <c r="E1132" s="23"/>
      <c r="F1132" s="23"/>
    </row>
    <row r="1133" spans="1:6" ht="16.5">
      <c r="A1133" s="23"/>
      <c r="B1133" s="23"/>
      <c r="C1133" s="23"/>
      <c r="D1133" s="23"/>
      <c r="E1133" s="23"/>
      <c r="F1133" s="23"/>
    </row>
    <row r="1134" spans="1:6" ht="16.5">
      <c r="A1134" s="23"/>
      <c r="B1134" s="23"/>
      <c r="C1134" s="23"/>
      <c r="D1134" s="23"/>
      <c r="E1134" s="23"/>
      <c r="F1134" s="23"/>
    </row>
    <row r="1135" spans="1:6" ht="16.5">
      <c r="A1135" s="23"/>
      <c r="B1135" s="23"/>
      <c r="C1135" s="23"/>
      <c r="D1135" s="23"/>
      <c r="E1135" s="23"/>
      <c r="F1135" s="23"/>
    </row>
    <row r="1136" spans="1:6" ht="16.5">
      <c r="A1136" s="23"/>
      <c r="B1136" s="23"/>
      <c r="C1136" s="23"/>
      <c r="D1136" s="23"/>
      <c r="E1136" s="23"/>
      <c r="F1136" s="23"/>
    </row>
    <row r="1137" spans="1:6" ht="16.5">
      <c r="A1137" s="23"/>
      <c r="B1137" s="23"/>
      <c r="C1137" s="23"/>
      <c r="D1137" s="23"/>
      <c r="E1137" s="23"/>
      <c r="F1137" s="23"/>
    </row>
    <row r="1138" spans="1:6" ht="16.5">
      <c r="A1138" s="23"/>
      <c r="B1138" s="23"/>
      <c r="C1138" s="23"/>
      <c r="D1138" s="23"/>
      <c r="E1138" s="23"/>
      <c r="F1138" s="23"/>
    </row>
    <row r="1139" spans="1:6" ht="16.5">
      <c r="A1139" s="23"/>
      <c r="B1139" s="23"/>
      <c r="C1139" s="23"/>
      <c r="D1139" s="23"/>
      <c r="E1139" s="23"/>
      <c r="F1139" s="23"/>
    </row>
    <row r="1140" spans="1:6" ht="16.5">
      <c r="A1140" s="23"/>
      <c r="B1140" s="23"/>
      <c r="C1140" s="23"/>
      <c r="D1140" s="23"/>
      <c r="E1140" s="23"/>
      <c r="F1140" s="23"/>
    </row>
    <row r="1141" spans="1:6" ht="16.5">
      <c r="A1141" s="23"/>
      <c r="B1141" s="23"/>
      <c r="C1141" s="23"/>
      <c r="D1141" s="23"/>
      <c r="E1141" s="23"/>
      <c r="F1141" s="23"/>
    </row>
    <row r="1142" spans="1:6" ht="16.5">
      <c r="A1142" s="23"/>
      <c r="B1142" s="23"/>
      <c r="C1142" s="23"/>
      <c r="D1142" s="23"/>
      <c r="E1142" s="23"/>
      <c r="F1142" s="23"/>
    </row>
    <row r="1143" spans="1:6" ht="16.5">
      <c r="A1143" s="23"/>
      <c r="B1143" s="23"/>
      <c r="C1143" s="23"/>
      <c r="D1143" s="23"/>
      <c r="E1143" s="23"/>
      <c r="F1143" s="23"/>
    </row>
    <row r="1144" spans="1:6" ht="16.5">
      <c r="A1144" s="23"/>
      <c r="B1144" s="23"/>
      <c r="C1144" s="23"/>
      <c r="D1144" s="23"/>
      <c r="E1144" s="23"/>
      <c r="F1144" s="23"/>
    </row>
    <row r="1145" spans="1:6" ht="16.5">
      <c r="A1145" s="23"/>
      <c r="B1145" s="23"/>
      <c r="C1145" s="23"/>
      <c r="D1145" s="23"/>
      <c r="E1145" s="23"/>
      <c r="F1145" s="23"/>
    </row>
    <row r="1146" spans="1:6" ht="16.5">
      <c r="A1146" s="23"/>
      <c r="B1146" s="23"/>
      <c r="C1146" s="23"/>
      <c r="D1146" s="23"/>
      <c r="E1146" s="23"/>
      <c r="F1146" s="23"/>
    </row>
    <row r="1147" spans="1:6" ht="16.5">
      <c r="A1147" s="23"/>
      <c r="B1147" s="23"/>
      <c r="C1147" s="23"/>
      <c r="D1147" s="23"/>
      <c r="E1147" s="23"/>
      <c r="F1147" s="23"/>
    </row>
    <row r="1148" spans="1:6" ht="16.5">
      <c r="A1148" s="23"/>
      <c r="B1148" s="23"/>
      <c r="C1148" s="23"/>
      <c r="D1148" s="23"/>
      <c r="E1148" s="23"/>
      <c r="F1148" s="23"/>
    </row>
    <row r="1149" spans="1:6" ht="16.5">
      <c r="A1149" s="23"/>
      <c r="B1149" s="23"/>
      <c r="C1149" s="23"/>
      <c r="D1149" s="23"/>
      <c r="E1149" s="23"/>
      <c r="F1149" s="23"/>
    </row>
    <row r="1150" spans="1:6" ht="16.5">
      <c r="A1150" s="23"/>
      <c r="B1150" s="23"/>
      <c r="C1150" s="23"/>
      <c r="D1150" s="23"/>
      <c r="E1150" s="23"/>
      <c r="F1150" s="23"/>
    </row>
    <row r="1151" spans="1:6" ht="16.5">
      <c r="A1151" s="23"/>
      <c r="B1151" s="23"/>
      <c r="C1151" s="23"/>
      <c r="D1151" s="23"/>
      <c r="E1151" s="23"/>
      <c r="F1151" s="23"/>
    </row>
    <row r="1152" spans="1:6" ht="16.5">
      <c r="A1152" s="23"/>
      <c r="B1152" s="23"/>
      <c r="C1152" s="23"/>
      <c r="D1152" s="23"/>
      <c r="E1152" s="23"/>
      <c r="F1152" s="23"/>
    </row>
    <row r="1153" spans="1:6" ht="16.5">
      <c r="A1153" s="23"/>
      <c r="B1153" s="23"/>
      <c r="C1153" s="23"/>
      <c r="D1153" s="23"/>
      <c r="E1153" s="23"/>
      <c r="F1153" s="23"/>
    </row>
    <row r="1154" spans="1:6" ht="16.5">
      <c r="A1154" s="23"/>
      <c r="B1154" s="23"/>
      <c r="C1154" s="23"/>
      <c r="D1154" s="23"/>
      <c r="E1154" s="23"/>
      <c r="F1154" s="23"/>
    </row>
    <row r="1155" spans="1:6" ht="16.5">
      <c r="A1155" s="23"/>
      <c r="B1155" s="23"/>
      <c r="C1155" s="23"/>
      <c r="D1155" s="23"/>
      <c r="E1155" s="23"/>
      <c r="F1155" s="23"/>
    </row>
    <row r="1156" spans="1:6" ht="16.5">
      <c r="A1156" s="23"/>
      <c r="B1156" s="23"/>
      <c r="C1156" s="23"/>
      <c r="D1156" s="23"/>
      <c r="E1156" s="23"/>
      <c r="F1156" s="23"/>
    </row>
    <row r="1157" spans="1:6" ht="16.5">
      <c r="A1157" s="23"/>
      <c r="B1157" s="23"/>
      <c r="C1157" s="23"/>
      <c r="D1157" s="23"/>
      <c r="E1157" s="23"/>
      <c r="F1157" s="23"/>
    </row>
    <row r="1158" spans="1:6" ht="16.5">
      <c r="A1158" s="23"/>
      <c r="B1158" s="23"/>
      <c r="C1158" s="23"/>
      <c r="D1158" s="23"/>
      <c r="E1158" s="23"/>
      <c r="F1158" s="23"/>
    </row>
    <row r="1159" spans="1:6" ht="16.5">
      <c r="A1159" s="23"/>
      <c r="B1159" s="23"/>
      <c r="C1159" s="23"/>
      <c r="D1159" s="23"/>
      <c r="E1159" s="23"/>
      <c r="F1159" s="23"/>
    </row>
    <row r="1160" spans="1:6" ht="16.5">
      <c r="A1160" s="23"/>
      <c r="B1160" s="23"/>
      <c r="C1160" s="23"/>
      <c r="D1160" s="23"/>
      <c r="E1160" s="23"/>
      <c r="F1160" s="23"/>
    </row>
    <row r="1161" spans="1:6" ht="16.5">
      <c r="A1161" s="23"/>
      <c r="B1161" s="23"/>
      <c r="C1161" s="23"/>
      <c r="D1161" s="23"/>
      <c r="E1161" s="23"/>
      <c r="F1161" s="23"/>
    </row>
    <row r="1162" spans="1:6" ht="16.5">
      <c r="A1162" s="23"/>
      <c r="B1162" s="23"/>
      <c r="C1162" s="23"/>
      <c r="D1162" s="23"/>
      <c r="E1162" s="23"/>
      <c r="F1162" s="23"/>
    </row>
    <row r="1163" spans="1:6" ht="16.5">
      <c r="A1163" s="23"/>
      <c r="B1163" s="23"/>
      <c r="C1163" s="23"/>
      <c r="D1163" s="23"/>
      <c r="E1163" s="23"/>
      <c r="F1163" s="23"/>
    </row>
    <row r="1164" spans="1:6" ht="16.5">
      <c r="A1164" s="23"/>
      <c r="B1164" s="23"/>
      <c r="C1164" s="23"/>
      <c r="D1164" s="23"/>
      <c r="E1164" s="23"/>
      <c r="F1164" s="23"/>
    </row>
    <row r="1165" spans="1:6" ht="16.5">
      <c r="A1165" s="23"/>
      <c r="B1165" s="23"/>
      <c r="C1165" s="23"/>
      <c r="D1165" s="23"/>
      <c r="E1165" s="23"/>
      <c r="F1165" s="23"/>
    </row>
    <row r="1166" spans="1:6" ht="16.5">
      <c r="A1166" s="23"/>
      <c r="B1166" s="23"/>
      <c r="C1166" s="23"/>
      <c r="D1166" s="23"/>
      <c r="E1166" s="23"/>
      <c r="F1166" s="23"/>
    </row>
    <row r="1167" spans="1:6" ht="16.5">
      <c r="A1167" s="23"/>
      <c r="B1167" s="23"/>
      <c r="C1167" s="23"/>
      <c r="D1167" s="23"/>
      <c r="E1167" s="23"/>
      <c r="F1167" s="23"/>
    </row>
    <row r="1168" spans="1:6" ht="16.5">
      <c r="A1168" s="23"/>
      <c r="B1168" s="23"/>
      <c r="C1168" s="23"/>
      <c r="D1168" s="23"/>
      <c r="E1168" s="23"/>
      <c r="F1168" s="23"/>
    </row>
    <row r="1169" spans="1:6" ht="16.5">
      <c r="A1169" s="23"/>
      <c r="B1169" s="23"/>
      <c r="C1169" s="23"/>
      <c r="D1169" s="23"/>
      <c r="E1169" s="23"/>
      <c r="F1169" s="23"/>
    </row>
    <row r="1170" spans="1:6" ht="16.5">
      <c r="A1170" s="23"/>
      <c r="B1170" s="23"/>
      <c r="C1170" s="23"/>
      <c r="D1170" s="23"/>
      <c r="E1170" s="23"/>
      <c r="F1170" s="23"/>
    </row>
    <row r="1171" spans="1:6" ht="16.5">
      <c r="A1171" s="23"/>
      <c r="B1171" s="23"/>
      <c r="C1171" s="23"/>
      <c r="D1171" s="23"/>
      <c r="E1171" s="23"/>
      <c r="F1171" s="23"/>
    </row>
    <row r="1172" spans="1:6" ht="16.5">
      <c r="A1172" s="23"/>
      <c r="B1172" s="23"/>
      <c r="C1172" s="23"/>
      <c r="D1172" s="23"/>
      <c r="E1172" s="23"/>
      <c r="F1172" s="23"/>
    </row>
    <row r="1173" spans="1:6" ht="16.5">
      <c r="A1173" s="23"/>
      <c r="B1173" s="23"/>
      <c r="C1173" s="23"/>
      <c r="D1173" s="23"/>
      <c r="E1173" s="23"/>
      <c r="F1173" s="23"/>
    </row>
    <row r="1174" spans="1:6" ht="16.5">
      <c r="A1174" s="23"/>
      <c r="B1174" s="23"/>
      <c r="C1174" s="23"/>
      <c r="D1174" s="23"/>
      <c r="E1174" s="23"/>
      <c r="F1174" s="23"/>
    </row>
    <row r="1175" spans="1:6" ht="16.5">
      <c r="A1175" s="23"/>
      <c r="B1175" s="23"/>
      <c r="C1175" s="23"/>
      <c r="D1175" s="23"/>
      <c r="E1175" s="23"/>
      <c r="F1175" s="23"/>
    </row>
    <row r="1176" spans="1:6" ht="16.5">
      <c r="A1176" s="23"/>
      <c r="B1176" s="23"/>
      <c r="C1176" s="23"/>
      <c r="D1176" s="23"/>
      <c r="E1176" s="23"/>
      <c r="F1176" s="23"/>
    </row>
    <row r="1177" spans="1:6" ht="16.5">
      <c r="A1177" s="23"/>
      <c r="B1177" s="23"/>
      <c r="C1177" s="23"/>
      <c r="D1177" s="23"/>
      <c r="E1177" s="23"/>
      <c r="F1177" s="23"/>
    </row>
    <row r="1178" spans="1:6" ht="16.5">
      <c r="A1178" s="23"/>
      <c r="B1178" s="23"/>
      <c r="C1178" s="23"/>
      <c r="D1178" s="23"/>
      <c r="E1178" s="23"/>
      <c r="F1178" s="23"/>
    </row>
    <row r="1179" spans="1:6" ht="16.5">
      <c r="A1179" s="23"/>
      <c r="B1179" s="23"/>
      <c r="C1179" s="23"/>
      <c r="D1179" s="23"/>
      <c r="E1179" s="23"/>
      <c r="F1179" s="23"/>
    </row>
    <row r="1180" spans="1:6" ht="16.5">
      <c r="A1180" s="23"/>
      <c r="B1180" s="23"/>
      <c r="C1180" s="23"/>
      <c r="D1180" s="23"/>
      <c r="E1180" s="23"/>
      <c r="F1180" s="23"/>
    </row>
    <row r="1181" spans="1:6" ht="16.5">
      <c r="A1181" s="23"/>
      <c r="B1181" s="23"/>
      <c r="C1181" s="23"/>
      <c r="D1181" s="23"/>
      <c r="E1181" s="23"/>
      <c r="F1181" s="23"/>
    </row>
    <row r="1182" spans="1:6" ht="16.5">
      <c r="A1182" s="23"/>
      <c r="B1182" s="23"/>
      <c r="C1182" s="23"/>
      <c r="D1182" s="23"/>
      <c r="E1182" s="23"/>
      <c r="F1182" s="23"/>
    </row>
    <row r="1183" spans="1:6" ht="16.5">
      <c r="A1183" s="23"/>
      <c r="B1183" s="23"/>
      <c r="C1183" s="23"/>
      <c r="D1183" s="23"/>
      <c r="E1183" s="23"/>
      <c r="F1183" s="23"/>
    </row>
    <row r="1184" spans="1:6" ht="16.5">
      <c r="A1184" s="23"/>
      <c r="B1184" s="23"/>
      <c r="C1184" s="23"/>
      <c r="D1184" s="23"/>
      <c r="E1184" s="23"/>
      <c r="F1184" s="23"/>
    </row>
    <row r="1185" spans="1:6" ht="16.5">
      <c r="A1185" s="23"/>
      <c r="B1185" s="23"/>
      <c r="C1185" s="23"/>
      <c r="D1185" s="23"/>
      <c r="E1185" s="23"/>
      <c r="F1185" s="23"/>
    </row>
    <row r="1186" spans="1:6" ht="16.5">
      <c r="A1186" s="23"/>
      <c r="B1186" s="23"/>
      <c r="C1186" s="23"/>
      <c r="D1186" s="23"/>
      <c r="E1186" s="23"/>
      <c r="F1186" s="23"/>
    </row>
    <row r="1187" spans="1:6" ht="16.5">
      <c r="A1187" s="23"/>
      <c r="B1187" s="23"/>
      <c r="C1187" s="23"/>
      <c r="D1187" s="23"/>
      <c r="E1187" s="23"/>
      <c r="F1187" s="23"/>
    </row>
    <row r="1188" spans="1:6" ht="16.5">
      <c r="A1188" s="23"/>
      <c r="B1188" s="23"/>
      <c r="C1188" s="23"/>
      <c r="D1188" s="23"/>
      <c r="E1188" s="23"/>
      <c r="F1188" s="23"/>
    </row>
    <row r="1189" spans="1:6" ht="16.5">
      <c r="A1189" s="23"/>
      <c r="B1189" s="23"/>
      <c r="C1189" s="23"/>
      <c r="D1189" s="23"/>
      <c r="E1189" s="23"/>
      <c r="F1189" s="23"/>
    </row>
    <row r="1190" spans="1:6" ht="16.5">
      <c r="A1190" s="23"/>
      <c r="B1190" s="23"/>
      <c r="C1190" s="23"/>
      <c r="D1190" s="23"/>
      <c r="E1190" s="23"/>
      <c r="F1190" s="23"/>
    </row>
    <row r="1191" spans="1:6" ht="16.5">
      <c r="A1191" s="23"/>
      <c r="B1191" s="23"/>
      <c r="C1191" s="23"/>
      <c r="D1191" s="23"/>
      <c r="E1191" s="23"/>
      <c r="F1191" s="23"/>
    </row>
    <row r="1192" spans="1:6" ht="16.5">
      <c r="A1192" s="23"/>
      <c r="B1192" s="23"/>
      <c r="C1192" s="23"/>
      <c r="D1192" s="23"/>
      <c r="E1192" s="23"/>
      <c r="F1192" s="23"/>
    </row>
    <row r="1193" spans="1:6" ht="16.5">
      <c r="A1193" s="23"/>
      <c r="B1193" s="23"/>
      <c r="C1193" s="23"/>
      <c r="D1193" s="23"/>
      <c r="E1193" s="23"/>
      <c r="F1193" s="23"/>
    </row>
    <row r="1194" spans="1:6" ht="16.5">
      <c r="A1194" s="23"/>
      <c r="B1194" s="23"/>
      <c r="C1194" s="23"/>
      <c r="D1194" s="23"/>
      <c r="E1194" s="23"/>
      <c r="F1194" s="23"/>
    </row>
    <row r="1195" spans="1:6" ht="16.5">
      <c r="A1195" s="23"/>
      <c r="B1195" s="23"/>
      <c r="C1195" s="23"/>
      <c r="D1195" s="23"/>
      <c r="E1195" s="23"/>
      <c r="F1195" s="23"/>
    </row>
    <row r="1196" spans="1:6" ht="16.5">
      <c r="A1196" s="23"/>
      <c r="B1196" s="23"/>
      <c r="C1196" s="23"/>
      <c r="D1196" s="23"/>
      <c r="E1196" s="23"/>
      <c r="F1196" s="23"/>
    </row>
    <row r="1197" spans="1:6" ht="16.5">
      <c r="A1197" s="23"/>
      <c r="B1197" s="23"/>
      <c r="C1197" s="23"/>
      <c r="D1197" s="23"/>
      <c r="E1197" s="23"/>
      <c r="F1197" s="23"/>
    </row>
    <row r="1198" spans="1:6" ht="16.5">
      <c r="A1198" s="23"/>
      <c r="B1198" s="23"/>
      <c r="C1198" s="23"/>
      <c r="D1198" s="23"/>
      <c r="E1198" s="23"/>
      <c r="F1198" s="23"/>
    </row>
    <row r="1199" spans="1:6" ht="16.5">
      <c r="A1199" s="23"/>
      <c r="B1199" s="23"/>
      <c r="C1199" s="23"/>
      <c r="D1199" s="23"/>
      <c r="E1199" s="23"/>
      <c r="F1199" s="23"/>
    </row>
    <row r="1200" spans="1:6" ht="16.5">
      <c r="A1200" s="23"/>
      <c r="B1200" s="23"/>
      <c r="C1200" s="23"/>
      <c r="D1200" s="23"/>
      <c r="E1200" s="23"/>
      <c r="F1200" s="23"/>
    </row>
    <row r="1201" spans="1:6" ht="16.5">
      <c r="A1201" s="23"/>
      <c r="B1201" s="23"/>
      <c r="C1201" s="23"/>
      <c r="D1201" s="23"/>
      <c r="E1201" s="23"/>
      <c r="F1201" s="23"/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0-000000000000}">
  <sheetPr codeName="Sheet69">
    <pageSetUpPr fitToPage="1"/>
  </sheetPr>
  <dimension ref="A1:F120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25.570312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5" spans="1:6" ht="18" customHeight="1">
      <c r="A5" s="57"/>
      <c r="B5" s="57"/>
      <c r="C5" s="57"/>
      <c r="D5" s="57"/>
      <c r="E5" s="57"/>
      <c r="F5" s="57"/>
    </row>
    <row r="6" spans="1:6" ht="16.5">
      <c r="A6" s="23"/>
      <c r="B6" s="23"/>
      <c r="C6" s="23"/>
      <c r="D6" s="23"/>
      <c r="E6" s="23"/>
      <c r="F6" s="23"/>
    </row>
    <row r="7" spans="1:6">
      <c r="A7" s="13" t="s">
        <v>24</v>
      </c>
      <c r="B7" s="13"/>
      <c r="C7" s="13"/>
      <c r="D7" s="55" t="s">
        <v>23</v>
      </c>
      <c r="E7" s="13"/>
      <c r="F7" s="13"/>
    </row>
    <row r="8" spans="1:6">
      <c r="A8" s="13"/>
      <c r="B8" s="13"/>
      <c r="C8" s="13"/>
      <c r="D8" s="20" t="s">
        <v>22</v>
      </c>
      <c r="E8" s="13" t="s">
        <v>296</v>
      </c>
      <c r="F8" s="13"/>
    </row>
    <row r="9" spans="1:6">
      <c r="A9" s="13" t="s">
        <v>295</v>
      </c>
      <c r="B9" s="13"/>
      <c r="C9" s="13"/>
      <c r="D9" s="20" t="s">
        <v>21</v>
      </c>
      <c r="E9" s="20" t="s">
        <v>100</v>
      </c>
      <c r="F9" s="13"/>
    </row>
    <row r="10" spans="1:6">
      <c r="A10" s="13" t="s">
        <v>294</v>
      </c>
      <c r="B10" s="13"/>
      <c r="C10" s="13"/>
      <c r="D10" s="20" t="s">
        <v>19</v>
      </c>
      <c r="E10" s="20" t="s">
        <v>18</v>
      </c>
      <c r="F10" s="13"/>
    </row>
    <row r="11" spans="1:6">
      <c r="A11" s="13" t="s">
        <v>293</v>
      </c>
      <c r="B11" s="13"/>
      <c r="C11" s="13"/>
      <c r="D11" s="20" t="s">
        <v>17</v>
      </c>
      <c r="E11" s="20" t="s">
        <v>292</v>
      </c>
      <c r="F11" s="13"/>
    </row>
    <row r="12" spans="1:6">
      <c r="A12" s="13" t="s">
        <v>291</v>
      </c>
      <c r="B12" s="13"/>
      <c r="C12" s="13"/>
      <c r="D12" s="13"/>
      <c r="E12" s="13"/>
      <c r="F12" s="13"/>
    </row>
    <row r="13" spans="1:6" ht="16.5">
      <c r="A13" s="23"/>
      <c r="B13" s="23"/>
      <c r="C13" s="23"/>
      <c r="D13" s="23"/>
      <c r="E13" s="23"/>
      <c r="F13" s="23"/>
    </row>
    <row r="14" spans="1:6" s="15" customFormat="1" ht="20.100000000000001" customHeight="1">
      <c r="A14" s="53" t="s">
        <v>15</v>
      </c>
      <c r="B14" s="53"/>
      <c r="C14" s="54" t="s">
        <v>14</v>
      </c>
      <c r="D14" s="53"/>
      <c r="E14" s="52"/>
      <c r="F14" s="51" t="s">
        <v>13</v>
      </c>
    </row>
    <row r="15" spans="1:6" ht="16.5">
      <c r="A15" s="23"/>
      <c r="B15" s="23"/>
      <c r="C15" s="23"/>
      <c r="D15" s="23"/>
      <c r="E15" s="23"/>
      <c r="F15" s="23"/>
    </row>
    <row r="16" spans="1:6">
      <c r="A16" s="13"/>
      <c r="B16" s="13"/>
      <c r="C16" s="13"/>
      <c r="D16" s="13"/>
      <c r="E16" s="13"/>
      <c r="F16" s="13"/>
    </row>
    <row r="17" spans="1:6">
      <c r="A17" s="13"/>
      <c r="B17" s="13"/>
      <c r="C17" s="14" t="s">
        <v>290</v>
      </c>
      <c r="D17" s="13"/>
      <c r="E17" s="13"/>
      <c r="F17" s="13"/>
    </row>
    <row r="18" spans="1:6">
      <c r="A18" s="13"/>
      <c r="B18" s="13"/>
      <c r="C18" s="13"/>
      <c r="D18" s="13"/>
      <c r="E18" s="13"/>
      <c r="F18" s="13"/>
    </row>
    <row r="19" spans="1:6">
      <c r="A19" s="13" t="s">
        <v>289</v>
      </c>
      <c r="B19" s="13"/>
      <c r="C19" s="13" t="s">
        <v>288</v>
      </c>
      <c r="D19" s="13"/>
      <c r="E19" s="13"/>
      <c r="F19" s="13">
        <v>10000</v>
      </c>
    </row>
    <row r="20" spans="1:6">
      <c r="A20" s="13"/>
      <c r="B20" s="13"/>
      <c r="C20" s="13" t="s">
        <v>287</v>
      </c>
      <c r="D20" s="13"/>
      <c r="E20" s="13"/>
      <c r="F20" s="13"/>
    </row>
    <row r="21" spans="1:6">
      <c r="A21" s="13"/>
      <c r="B21" s="13"/>
      <c r="C21" s="13"/>
      <c r="D21" s="13"/>
      <c r="E21" s="13"/>
      <c r="F21" s="13"/>
    </row>
    <row r="22" spans="1:6">
      <c r="A22" s="13"/>
      <c r="B22" s="13"/>
      <c r="C22" s="13"/>
      <c r="D22" s="13"/>
      <c r="E22" s="13"/>
      <c r="F22" s="13"/>
    </row>
    <row r="23" spans="1:6">
      <c r="A23" s="13"/>
      <c r="B23" s="13"/>
      <c r="C23" s="13"/>
      <c r="D23" s="13"/>
      <c r="E23" s="13"/>
      <c r="F23" s="13"/>
    </row>
    <row r="24" spans="1:6">
      <c r="A24" s="13"/>
      <c r="B24" s="13"/>
      <c r="C24" s="13"/>
      <c r="D24" s="13"/>
      <c r="E24" s="13"/>
      <c r="F24" s="13"/>
    </row>
    <row r="25" spans="1:6">
      <c r="A25" s="13"/>
      <c r="B25" s="13"/>
      <c r="C25" s="13"/>
      <c r="D25" s="13"/>
      <c r="E25" s="13"/>
      <c r="F25" s="13"/>
    </row>
    <row r="26" spans="1:6">
      <c r="A26" s="13"/>
      <c r="B26" s="13"/>
      <c r="C26" s="13"/>
      <c r="D26" s="13"/>
      <c r="E26" s="13"/>
      <c r="F26" s="13"/>
    </row>
    <row r="27" spans="1:6">
      <c r="A27" s="13"/>
      <c r="B27" s="13"/>
      <c r="C27" s="13"/>
      <c r="D27" s="13"/>
      <c r="E27" s="13"/>
      <c r="F27" s="13"/>
    </row>
    <row r="28" spans="1:6" ht="13.5" thickBot="1">
      <c r="A28" s="13"/>
      <c r="B28" s="13"/>
      <c r="C28" s="13"/>
      <c r="D28" s="13"/>
      <c r="E28" s="13"/>
      <c r="F28" s="28">
        <f>SUM(F16:F27)</f>
        <v>10000</v>
      </c>
    </row>
    <row r="29" spans="1:6" ht="13.5" thickTop="1">
      <c r="A29" s="13"/>
      <c r="B29" s="13"/>
      <c r="C29" s="13"/>
      <c r="D29" s="13"/>
      <c r="E29" s="13"/>
      <c r="F29" s="13"/>
    </row>
    <row r="30" spans="1:6">
      <c r="A30" s="13"/>
      <c r="B30" s="13"/>
      <c r="C30" s="13"/>
      <c r="D30" s="13"/>
      <c r="E30" s="13"/>
      <c r="F30" s="13"/>
    </row>
    <row r="31" spans="1:6" ht="20.100000000000001" customHeight="1">
      <c r="A31" s="49" t="s">
        <v>286</v>
      </c>
      <c r="B31" s="11"/>
      <c r="C31" s="48"/>
      <c r="D31" s="48"/>
      <c r="E31" s="48"/>
      <c r="F31" s="48"/>
    </row>
    <row r="32" spans="1:6">
      <c r="A32" s="34" t="s">
        <v>11</v>
      </c>
      <c r="B32" s="13"/>
      <c r="C32" s="13"/>
      <c r="D32" s="13"/>
      <c r="E32" s="13"/>
    </row>
    <row r="33" spans="1:6" ht="13.5" thickBot="1">
      <c r="A33" s="13" t="s">
        <v>10</v>
      </c>
      <c r="B33" s="13"/>
      <c r="C33" s="13"/>
      <c r="D33" s="13"/>
      <c r="E33" s="13"/>
      <c r="F33" s="28">
        <f>SUM(F20:F32)</f>
        <v>10000</v>
      </c>
    </row>
    <row r="34" spans="1:6" ht="13.5" thickTop="1">
      <c r="A34" s="13"/>
      <c r="B34" s="13"/>
      <c r="C34" s="13"/>
      <c r="D34" s="13"/>
      <c r="E34" s="13"/>
      <c r="F34" s="13"/>
    </row>
    <row r="35" spans="1:6">
      <c r="A35" s="13"/>
      <c r="B35" s="13"/>
      <c r="C35" s="13"/>
      <c r="D35" s="13"/>
      <c r="E35" s="13"/>
      <c r="F35" s="13"/>
    </row>
    <row r="36" spans="1:6">
      <c r="A36" s="13" t="s">
        <v>9</v>
      </c>
      <c r="B36" s="13"/>
      <c r="C36" s="47"/>
      <c r="D36" s="13"/>
      <c r="E36" s="13"/>
      <c r="F36" s="13"/>
    </row>
    <row r="37" spans="1:6">
      <c r="A37" s="13"/>
      <c r="B37" s="13"/>
      <c r="C37" s="13"/>
      <c r="D37" s="13"/>
      <c r="E37" s="13"/>
      <c r="F37" s="13"/>
    </row>
    <row r="38" spans="1:6">
      <c r="A38" s="13"/>
      <c r="B38" s="13"/>
      <c r="C38" s="13"/>
      <c r="D38" s="13"/>
      <c r="E38" s="13"/>
      <c r="F38" s="13"/>
    </row>
    <row r="39" spans="1:6" ht="25.5">
      <c r="A39" s="30" t="s">
        <v>8</v>
      </c>
      <c r="B39" s="13"/>
      <c r="C39" s="13"/>
      <c r="D39" s="265" t="s">
        <v>2894</v>
      </c>
      <c r="E39" s="266"/>
      <c r="F39" s="267"/>
    </row>
    <row r="40" spans="1:6">
      <c r="A40" s="13"/>
      <c r="B40" s="13"/>
      <c r="C40" s="13"/>
      <c r="D40" s="13"/>
      <c r="E40" s="13"/>
      <c r="F40" s="13"/>
    </row>
    <row r="41" spans="1:6">
      <c r="A41" s="13"/>
      <c r="B41" s="13"/>
      <c r="C41" s="13"/>
      <c r="D41" s="13"/>
      <c r="E41" s="13"/>
      <c r="F41" s="13"/>
    </row>
    <row r="42" spans="1:6">
      <c r="A42" s="13"/>
      <c r="B42" s="13"/>
      <c r="C42" s="13"/>
      <c r="D42" s="13"/>
      <c r="E42" s="13"/>
      <c r="F42" s="13"/>
    </row>
    <row r="43" spans="1:6">
      <c r="A43" s="13" t="s">
        <v>6</v>
      </c>
      <c r="B43" s="13"/>
      <c r="C43" s="13"/>
      <c r="D43" s="13" t="s">
        <v>5</v>
      </c>
      <c r="E43" s="13"/>
      <c r="F43" s="13"/>
    </row>
    <row r="44" spans="1:6" s="3" customFormat="1" ht="17.100000000000001" customHeight="1">
      <c r="A44" s="45" t="s">
        <v>4</v>
      </c>
      <c r="B44" s="45"/>
      <c r="C44" s="30"/>
      <c r="D44" s="30" t="s">
        <v>3</v>
      </c>
      <c r="E44" s="30"/>
      <c r="F44" s="30"/>
    </row>
    <row r="45" spans="1:6">
      <c r="A45" s="13"/>
      <c r="B45" s="13"/>
      <c r="C45" s="13"/>
      <c r="D45" s="13" t="s">
        <v>2</v>
      </c>
      <c r="E45" s="13"/>
      <c r="F45" s="13"/>
    </row>
    <row r="46" spans="1:6">
      <c r="A46" s="13"/>
      <c r="B46" s="13"/>
      <c r="C46" s="13"/>
      <c r="D46" s="13"/>
      <c r="E46" s="13"/>
      <c r="F46" s="13"/>
    </row>
    <row r="47" spans="1:6">
      <c r="A47" s="13"/>
      <c r="B47" s="13"/>
      <c r="C47" s="13"/>
      <c r="D47" s="14" t="s">
        <v>1</v>
      </c>
      <c r="E47" s="13"/>
      <c r="F47" s="13"/>
    </row>
    <row r="48" spans="1:6">
      <c r="A48" s="13"/>
      <c r="B48" s="13"/>
      <c r="C48" s="13"/>
      <c r="D48" s="14" t="s">
        <v>0</v>
      </c>
      <c r="E48" s="13"/>
      <c r="F48" s="13"/>
    </row>
    <row r="49" spans="1:6">
      <c r="A49" s="13"/>
      <c r="B49" s="13"/>
      <c r="C49" s="13"/>
      <c r="D49" s="13"/>
      <c r="E49" s="13"/>
      <c r="F49" s="13"/>
    </row>
    <row r="50" spans="1:6">
      <c r="A50" s="275" t="s">
        <v>2948</v>
      </c>
      <c r="B50" s="13"/>
      <c r="C50" s="13"/>
      <c r="D50" s="13"/>
      <c r="E50" s="13"/>
      <c r="F50" s="13"/>
    </row>
    <row r="51" spans="1:6">
      <c r="A51" s="13"/>
      <c r="B51" s="13"/>
      <c r="C51" s="13"/>
      <c r="D51" s="13"/>
      <c r="E51" s="13"/>
      <c r="F51" s="13"/>
    </row>
    <row r="52" spans="1:6">
      <c r="A52" s="13"/>
      <c r="B52" s="13"/>
      <c r="C52" s="13"/>
      <c r="D52" s="13"/>
      <c r="E52" s="13"/>
      <c r="F52" s="13"/>
    </row>
    <row r="53" spans="1:6">
      <c r="A53" s="13"/>
      <c r="B53" s="13"/>
      <c r="C53" s="13"/>
      <c r="D53" s="13"/>
      <c r="E53" s="13"/>
      <c r="F53" s="13"/>
    </row>
    <row r="54" spans="1:6">
      <c r="A54" s="13"/>
      <c r="B54" s="13"/>
      <c r="C54" s="13"/>
      <c r="D54" s="13"/>
      <c r="E54" s="13"/>
      <c r="F54" s="13"/>
    </row>
    <row r="55" spans="1:6">
      <c r="A55" s="13"/>
      <c r="B55" s="13"/>
      <c r="C55" s="13"/>
      <c r="D55" s="13"/>
      <c r="E55" s="13"/>
      <c r="F55" s="13"/>
    </row>
    <row r="56" spans="1:6">
      <c r="A56" s="13"/>
      <c r="B56" s="13"/>
      <c r="C56" s="13"/>
      <c r="D56" s="13"/>
      <c r="E56" s="13"/>
      <c r="F56" s="13"/>
    </row>
    <row r="57" spans="1:6">
      <c r="A57" s="13"/>
      <c r="B57" s="13"/>
      <c r="C57" s="13"/>
      <c r="D57" s="13"/>
      <c r="E57" s="13"/>
      <c r="F57" s="13"/>
    </row>
    <row r="58" spans="1:6">
      <c r="A58" s="13"/>
      <c r="B58" s="13"/>
      <c r="C58" s="13"/>
      <c r="D58" s="13"/>
      <c r="E58" s="13"/>
      <c r="F58" s="13"/>
    </row>
    <row r="59" spans="1:6">
      <c r="A59" s="13"/>
      <c r="B59" s="13"/>
      <c r="C59" s="13"/>
      <c r="D59" s="13"/>
      <c r="E59" s="13"/>
      <c r="F59" s="13"/>
    </row>
    <row r="60" spans="1:6" ht="16.5">
      <c r="A60" s="23"/>
      <c r="B60" s="23"/>
      <c r="C60" s="23"/>
      <c r="D60" s="23"/>
      <c r="E60" s="23"/>
      <c r="F60" s="23"/>
    </row>
    <row r="61" spans="1:6" ht="16.5">
      <c r="A61" s="23"/>
      <c r="B61" s="23"/>
      <c r="C61" s="23"/>
      <c r="D61" s="23"/>
      <c r="E61" s="23"/>
      <c r="F61" s="23"/>
    </row>
    <row r="62" spans="1:6" ht="16.5">
      <c r="A62" s="23"/>
      <c r="B62" s="23"/>
      <c r="C62" s="23"/>
      <c r="D62" s="23"/>
      <c r="E62" s="23"/>
      <c r="F62" s="23"/>
    </row>
    <row r="63" spans="1:6" ht="16.5">
      <c r="A63" s="23"/>
      <c r="B63" s="23"/>
      <c r="C63" s="23"/>
      <c r="D63" s="23"/>
      <c r="E63" s="23"/>
      <c r="F63" s="23"/>
    </row>
    <row r="64" spans="1:6" ht="16.5">
      <c r="A64" s="23"/>
      <c r="B64" s="23"/>
      <c r="C64" s="23"/>
      <c r="D64" s="23"/>
      <c r="E64" s="23"/>
      <c r="F64" s="23"/>
    </row>
    <row r="65" spans="1:6" ht="16.5">
      <c r="A65" s="23"/>
      <c r="B65" s="23"/>
      <c r="C65" s="23"/>
      <c r="D65" s="23"/>
      <c r="E65" s="23"/>
      <c r="F65" s="23"/>
    </row>
    <row r="66" spans="1:6" ht="16.5">
      <c r="A66" s="23"/>
      <c r="B66" s="23"/>
      <c r="C66" s="23"/>
      <c r="D66" s="23"/>
      <c r="E66" s="23"/>
      <c r="F66" s="23"/>
    </row>
    <row r="67" spans="1:6" ht="16.5">
      <c r="A67" s="23"/>
      <c r="B67" s="23"/>
      <c r="C67" s="23"/>
      <c r="D67" s="23"/>
      <c r="E67" s="23"/>
      <c r="F67" s="23"/>
    </row>
    <row r="68" spans="1:6" ht="16.5">
      <c r="A68" s="23"/>
      <c r="B68" s="23"/>
      <c r="C68" s="23"/>
      <c r="D68" s="23"/>
      <c r="E68" s="23"/>
      <c r="F68" s="23"/>
    </row>
    <row r="69" spans="1:6" ht="16.5">
      <c r="A69" s="23"/>
      <c r="B69" s="23"/>
      <c r="C69" s="23"/>
      <c r="D69" s="23"/>
      <c r="E69" s="23"/>
      <c r="F69" s="23"/>
    </row>
    <row r="70" spans="1:6" ht="16.5">
      <c r="A70" s="23"/>
      <c r="B70" s="23"/>
      <c r="C70" s="23"/>
      <c r="D70" s="23"/>
      <c r="E70" s="23"/>
      <c r="F70" s="23"/>
    </row>
    <row r="71" spans="1:6" ht="16.5">
      <c r="A71" s="23"/>
      <c r="B71" s="23"/>
      <c r="C71" s="23"/>
      <c r="D71" s="23"/>
      <c r="E71" s="23"/>
      <c r="F71" s="23"/>
    </row>
    <row r="72" spans="1:6" ht="16.5">
      <c r="A72" s="23"/>
      <c r="B72" s="23"/>
      <c r="C72" s="23"/>
      <c r="D72" s="23"/>
      <c r="E72" s="23"/>
      <c r="F72" s="23"/>
    </row>
    <row r="73" spans="1:6" ht="16.5">
      <c r="A73" s="23"/>
      <c r="B73" s="23"/>
      <c r="C73" s="23"/>
      <c r="D73" s="23"/>
      <c r="E73" s="23"/>
      <c r="F73" s="23"/>
    </row>
    <row r="74" spans="1:6" ht="16.5">
      <c r="A74" s="23"/>
      <c r="B74" s="23"/>
      <c r="C74" s="23"/>
      <c r="D74" s="23"/>
      <c r="E74" s="23"/>
      <c r="F74" s="23"/>
    </row>
    <row r="75" spans="1:6" ht="16.5">
      <c r="A75" s="23"/>
      <c r="B75" s="23"/>
      <c r="C75" s="23"/>
      <c r="D75" s="23"/>
      <c r="E75" s="23"/>
      <c r="F75" s="23"/>
    </row>
    <row r="76" spans="1:6" ht="16.5">
      <c r="A76" s="23"/>
      <c r="B76" s="23"/>
      <c r="C76" s="23"/>
      <c r="D76" s="23"/>
      <c r="E76" s="23"/>
      <c r="F76" s="23"/>
    </row>
    <row r="77" spans="1:6" ht="16.5">
      <c r="A77" s="23"/>
      <c r="B77" s="23"/>
      <c r="C77" s="23"/>
      <c r="D77" s="23"/>
      <c r="E77" s="23"/>
      <c r="F77" s="23"/>
    </row>
    <row r="78" spans="1:6" ht="16.5">
      <c r="A78" s="23"/>
      <c r="B78" s="23"/>
      <c r="C78" s="23"/>
      <c r="D78" s="23"/>
      <c r="E78" s="23"/>
      <c r="F78" s="23"/>
    </row>
    <row r="79" spans="1:6" ht="16.5">
      <c r="A79" s="23"/>
      <c r="B79" s="23"/>
      <c r="C79" s="23"/>
      <c r="D79" s="23"/>
      <c r="E79" s="23"/>
      <c r="F79" s="23"/>
    </row>
    <row r="80" spans="1:6" ht="16.5">
      <c r="A80" s="23"/>
      <c r="B80" s="23"/>
      <c r="C80" s="23"/>
      <c r="D80" s="23"/>
      <c r="E80" s="23"/>
      <c r="F80" s="23"/>
    </row>
    <row r="81" spans="1:6" ht="16.5">
      <c r="A81" s="23"/>
      <c r="B81" s="23"/>
      <c r="C81" s="23"/>
      <c r="D81" s="23"/>
      <c r="E81" s="23"/>
      <c r="F81" s="23"/>
    </row>
    <row r="82" spans="1:6" ht="16.5">
      <c r="A82" s="23"/>
      <c r="B82" s="23"/>
      <c r="C82" s="23"/>
      <c r="D82" s="23"/>
      <c r="E82" s="23"/>
      <c r="F82" s="23"/>
    </row>
    <row r="83" spans="1:6" ht="16.5">
      <c r="A83" s="23"/>
      <c r="B83" s="23"/>
      <c r="C83" s="23"/>
      <c r="D83" s="23"/>
      <c r="E83" s="23"/>
      <c r="F83" s="23"/>
    </row>
    <row r="84" spans="1:6" ht="16.5">
      <c r="A84" s="23"/>
      <c r="B84" s="23"/>
      <c r="C84" s="23"/>
      <c r="D84" s="23"/>
      <c r="E84" s="23"/>
      <c r="F84" s="23"/>
    </row>
    <row r="85" spans="1:6" ht="16.5">
      <c r="A85" s="23"/>
      <c r="B85" s="23"/>
      <c r="C85" s="23"/>
      <c r="D85" s="23"/>
      <c r="E85" s="23"/>
      <c r="F85" s="23"/>
    </row>
    <row r="86" spans="1:6" ht="16.5">
      <c r="A86" s="23"/>
      <c r="B86" s="23"/>
      <c r="C86" s="23"/>
      <c r="D86" s="23"/>
      <c r="E86" s="23"/>
      <c r="F86" s="23"/>
    </row>
    <row r="87" spans="1:6" ht="16.5">
      <c r="A87" s="23"/>
      <c r="B87" s="23"/>
      <c r="C87" s="23"/>
      <c r="D87" s="23"/>
      <c r="E87" s="23"/>
      <c r="F87" s="23"/>
    </row>
    <row r="88" spans="1:6" ht="16.5">
      <c r="A88" s="23"/>
      <c r="B88" s="23"/>
      <c r="C88" s="23"/>
      <c r="D88" s="23"/>
      <c r="E88" s="23"/>
      <c r="F88" s="23"/>
    </row>
    <row r="89" spans="1:6" ht="16.5">
      <c r="A89" s="23"/>
      <c r="B89" s="23"/>
      <c r="C89" s="23"/>
      <c r="D89" s="23"/>
      <c r="E89" s="23"/>
      <c r="F89" s="23"/>
    </row>
    <row r="90" spans="1:6" ht="16.5">
      <c r="A90" s="23"/>
      <c r="B90" s="23"/>
      <c r="C90" s="23"/>
      <c r="D90" s="23"/>
      <c r="E90" s="23"/>
      <c r="F90" s="23"/>
    </row>
    <row r="91" spans="1:6" ht="16.5">
      <c r="A91" s="23"/>
      <c r="B91" s="23"/>
      <c r="C91" s="23"/>
      <c r="D91" s="23"/>
      <c r="E91" s="23"/>
      <c r="F91" s="23"/>
    </row>
    <row r="92" spans="1:6" ht="16.5">
      <c r="A92" s="23"/>
      <c r="B92" s="23"/>
      <c r="C92" s="23"/>
      <c r="D92" s="23"/>
      <c r="E92" s="23"/>
      <c r="F92" s="23"/>
    </row>
    <row r="93" spans="1:6" ht="16.5">
      <c r="A93" s="23"/>
      <c r="B93" s="23"/>
      <c r="C93" s="23"/>
      <c r="D93" s="23"/>
      <c r="E93" s="23"/>
      <c r="F93" s="23"/>
    </row>
    <row r="94" spans="1:6" ht="16.5">
      <c r="A94" s="23"/>
      <c r="B94" s="23"/>
      <c r="C94" s="23"/>
      <c r="D94" s="23"/>
      <c r="E94" s="23"/>
      <c r="F94" s="23"/>
    </row>
    <row r="95" spans="1:6" ht="16.5">
      <c r="A95" s="23"/>
      <c r="B95" s="23"/>
      <c r="C95" s="23"/>
      <c r="D95" s="23"/>
      <c r="E95" s="23"/>
      <c r="F95" s="23"/>
    </row>
    <row r="96" spans="1:6" ht="16.5">
      <c r="A96" s="23"/>
      <c r="B96" s="23"/>
      <c r="C96" s="23"/>
      <c r="D96" s="23"/>
      <c r="E96" s="23"/>
      <c r="F96" s="23"/>
    </row>
    <row r="97" spans="1:6" ht="16.5">
      <c r="A97" s="23"/>
      <c r="B97" s="23"/>
      <c r="C97" s="23"/>
      <c r="D97" s="23"/>
      <c r="E97" s="23"/>
      <c r="F97" s="23"/>
    </row>
    <row r="98" spans="1:6" ht="16.5">
      <c r="A98" s="23"/>
      <c r="B98" s="23"/>
      <c r="C98" s="23"/>
      <c r="D98" s="23"/>
      <c r="E98" s="23"/>
      <c r="F98" s="23"/>
    </row>
    <row r="99" spans="1:6" ht="16.5">
      <c r="A99" s="23"/>
      <c r="B99" s="23"/>
      <c r="C99" s="23"/>
      <c r="D99" s="23"/>
      <c r="E99" s="23"/>
      <c r="F99" s="23"/>
    </row>
    <row r="100" spans="1:6" ht="16.5">
      <c r="A100" s="23"/>
      <c r="B100" s="23"/>
      <c r="C100" s="23"/>
      <c r="D100" s="23"/>
      <c r="E100" s="23"/>
      <c r="F100" s="23"/>
    </row>
    <row r="101" spans="1:6" ht="16.5">
      <c r="A101" s="23"/>
      <c r="B101" s="23"/>
      <c r="C101" s="23"/>
      <c r="D101" s="23"/>
      <c r="E101" s="23"/>
      <c r="F101" s="23"/>
    </row>
    <row r="102" spans="1:6" ht="16.5">
      <c r="A102" s="23"/>
      <c r="B102" s="23"/>
      <c r="C102" s="23"/>
      <c r="D102" s="23"/>
      <c r="E102" s="23"/>
      <c r="F102" s="23"/>
    </row>
    <row r="103" spans="1:6" ht="16.5">
      <c r="A103" s="23"/>
      <c r="B103" s="23"/>
      <c r="C103" s="23"/>
      <c r="D103" s="23"/>
      <c r="E103" s="23"/>
      <c r="F103" s="23"/>
    </row>
    <row r="104" spans="1:6" ht="16.5">
      <c r="A104" s="23"/>
      <c r="B104" s="23"/>
      <c r="C104" s="23"/>
      <c r="D104" s="23"/>
      <c r="E104" s="23"/>
      <c r="F104" s="23"/>
    </row>
    <row r="105" spans="1:6" ht="16.5">
      <c r="A105" s="23"/>
      <c r="B105" s="23"/>
      <c r="C105" s="23"/>
      <c r="D105" s="23"/>
      <c r="E105" s="23"/>
      <c r="F105" s="23"/>
    </row>
    <row r="106" spans="1:6" ht="16.5">
      <c r="A106" s="23"/>
      <c r="B106" s="23"/>
      <c r="C106" s="23"/>
      <c r="D106" s="23"/>
      <c r="E106" s="23"/>
      <c r="F106" s="23"/>
    </row>
    <row r="107" spans="1:6" ht="16.5">
      <c r="A107" s="23"/>
      <c r="B107" s="23"/>
      <c r="C107" s="23"/>
      <c r="D107" s="23"/>
      <c r="E107" s="23"/>
      <c r="F107" s="23"/>
    </row>
    <row r="108" spans="1:6" ht="16.5">
      <c r="A108" s="23"/>
      <c r="B108" s="23"/>
      <c r="C108" s="23"/>
      <c r="D108" s="23"/>
      <c r="E108" s="23"/>
      <c r="F108" s="23"/>
    </row>
    <row r="109" spans="1:6" ht="16.5">
      <c r="A109" s="23"/>
      <c r="B109" s="23"/>
      <c r="C109" s="23"/>
      <c r="D109" s="23"/>
      <c r="E109" s="23"/>
      <c r="F109" s="23"/>
    </row>
    <row r="110" spans="1:6" ht="16.5">
      <c r="A110" s="23"/>
      <c r="B110" s="23"/>
      <c r="C110" s="23"/>
      <c r="D110" s="23"/>
      <c r="E110" s="23"/>
      <c r="F110" s="23"/>
    </row>
    <row r="111" spans="1:6" ht="16.5">
      <c r="A111" s="23"/>
      <c r="B111" s="23"/>
      <c r="C111" s="23"/>
      <c r="D111" s="23"/>
      <c r="E111" s="23"/>
      <c r="F111" s="23"/>
    </row>
    <row r="112" spans="1:6" ht="16.5">
      <c r="A112" s="23"/>
      <c r="B112" s="23"/>
      <c r="C112" s="23"/>
      <c r="D112" s="23"/>
      <c r="E112" s="23"/>
      <c r="F112" s="23"/>
    </row>
    <row r="113" spans="1:6" ht="16.5">
      <c r="A113" s="23"/>
      <c r="B113" s="23"/>
      <c r="C113" s="23"/>
      <c r="D113" s="23"/>
      <c r="E113" s="23"/>
      <c r="F113" s="23"/>
    </row>
    <row r="114" spans="1:6" ht="16.5">
      <c r="A114" s="23"/>
      <c r="B114" s="23"/>
      <c r="C114" s="23"/>
      <c r="D114" s="23"/>
      <c r="E114" s="23"/>
      <c r="F114" s="23"/>
    </row>
    <row r="115" spans="1:6" ht="16.5">
      <c r="A115" s="23"/>
      <c r="B115" s="23"/>
      <c r="C115" s="23"/>
      <c r="D115" s="23"/>
      <c r="E115" s="23"/>
      <c r="F115" s="23"/>
    </row>
    <row r="116" spans="1:6" ht="16.5">
      <c r="A116" s="23"/>
      <c r="B116" s="23"/>
      <c r="C116" s="23"/>
      <c r="D116" s="23"/>
      <c r="E116" s="23"/>
      <c r="F116" s="23"/>
    </row>
    <row r="117" spans="1:6" ht="16.5">
      <c r="A117" s="23"/>
      <c r="B117" s="23"/>
      <c r="C117" s="23"/>
      <c r="D117" s="23"/>
      <c r="E117" s="23"/>
      <c r="F117" s="23"/>
    </row>
    <row r="118" spans="1:6" ht="16.5">
      <c r="A118" s="23"/>
      <c r="B118" s="23"/>
      <c r="C118" s="23"/>
      <c r="D118" s="23"/>
      <c r="E118" s="23"/>
      <c r="F118" s="23"/>
    </row>
    <row r="119" spans="1:6" ht="16.5">
      <c r="A119" s="23"/>
      <c r="B119" s="23"/>
      <c r="C119" s="23"/>
      <c r="D119" s="23"/>
      <c r="E119" s="23"/>
      <c r="F119" s="23"/>
    </row>
    <row r="120" spans="1:6" ht="16.5">
      <c r="A120" s="23"/>
      <c r="B120" s="23"/>
      <c r="C120" s="23"/>
      <c r="D120" s="23"/>
      <c r="E120" s="23"/>
      <c r="F120" s="23"/>
    </row>
    <row r="121" spans="1:6" ht="16.5">
      <c r="A121" s="23"/>
      <c r="B121" s="23"/>
      <c r="C121" s="23"/>
      <c r="D121" s="23"/>
      <c r="E121" s="23"/>
      <c r="F121" s="23"/>
    </row>
    <row r="122" spans="1:6" ht="16.5">
      <c r="A122" s="23"/>
      <c r="B122" s="23"/>
      <c r="C122" s="23"/>
      <c r="D122" s="23"/>
      <c r="E122" s="23"/>
      <c r="F122" s="23"/>
    </row>
    <row r="123" spans="1:6" ht="16.5">
      <c r="A123" s="23"/>
      <c r="B123" s="23"/>
      <c r="C123" s="23"/>
      <c r="D123" s="23"/>
      <c r="E123" s="23"/>
      <c r="F123" s="23"/>
    </row>
    <row r="124" spans="1:6" ht="16.5">
      <c r="A124" s="23"/>
      <c r="B124" s="23"/>
      <c r="C124" s="23"/>
      <c r="D124" s="23"/>
      <c r="E124" s="23"/>
      <c r="F124" s="23"/>
    </row>
    <row r="125" spans="1:6" ht="16.5">
      <c r="A125" s="23"/>
      <c r="B125" s="23"/>
      <c r="C125" s="23"/>
      <c r="D125" s="23"/>
      <c r="E125" s="23"/>
      <c r="F125" s="23"/>
    </row>
    <row r="126" spans="1:6" ht="16.5">
      <c r="A126" s="23"/>
      <c r="B126" s="23"/>
      <c r="C126" s="23"/>
      <c r="D126" s="23"/>
      <c r="E126" s="23"/>
      <c r="F126" s="23"/>
    </row>
    <row r="127" spans="1:6" ht="16.5">
      <c r="A127" s="23"/>
      <c r="B127" s="23"/>
      <c r="C127" s="23"/>
      <c r="D127" s="23"/>
      <c r="E127" s="23"/>
      <c r="F127" s="23"/>
    </row>
    <row r="128" spans="1:6" ht="16.5">
      <c r="A128" s="23"/>
      <c r="B128" s="23"/>
      <c r="C128" s="23"/>
      <c r="D128" s="23"/>
      <c r="E128" s="23"/>
      <c r="F128" s="23"/>
    </row>
    <row r="129" spans="1:6" ht="16.5">
      <c r="A129" s="23"/>
      <c r="B129" s="23"/>
      <c r="C129" s="23"/>
      <c r="D129" s="23"/>
      <c r="E129" s="23"/>
      <c r="F129" s="23"/>
    </row>
    <row r="130" spans="1:6" ht="16.5">
      <c r="A130" s="23"/>
      <c r="B130" s="23"/>
      <c r="C130" s="23"/>
      <c r="D130" s="23"/>
      <c r="E130" s="23"/>
      <c r="F130" s="23"/>
    </row>
    <row r="131" spans="1:6" ht="16.5">
      <c r="A131" s="23"/>
      <c r="B131" s="23"/>
      <c r="C131" s="23"/>
      <c r="D131" s="23"/>
      <c r="E131" s="23"/>
      <c r="F131" s="23"/>
    </row>
    <row r="132" spans="1:6" ht="16.5">
      <c r="A132" s="23"/>
      <c r="B132" s="23"/>
      <c r="C132" s="23"/>
      <c r="D132" s="23"/>
      <c r="E132" s="23"/>
      <c r="F132" s="23"/>
    </row>
    <row r="133" spans="1:6" ht="16.5">
      <c r="A133" s="23"/>
      <c r="B133" s="23"/>
      <c r="C133" s="23"/>
      <c r="D133" s="23"/>
      <c r="E133" s="23"/>
      <c r="F133" s="23"/>
    </row>
    <row r="134" spans="1:6" ht="16.5">
      <c r="A134" s="23"/>
      <c r="B134" s="23"/>
      <c r="C134" s="23"/>
      <c r="D134" s="23"/>
      <c r="E134" s="23"/>
      <c r="F134" s="23"/>
    </row>
    <row r="135" spans="1:6" ht="16.5">
      <c r="A135" s="23"/>
      <c r="B135" s="23"/>
      <c r="C135" s="23"/>
      <c r="D135" s="23"/>
      <c r="E135" s="23"/>
      <c r="F135" s="23"/>
    </row>
    <row r="136" spans="1:6" ht="16.5">
      <c r="A136" s="23"/>
      <c r="B136" s="23"/>
      <c r="C136" s="23"/>
      <c r="D136" s="23"/>
      <c r="E136" s="23"/>
      <c r="F136" s="23"/>
    </row>
    <row r="137" spans="1:6" ht="16.5">
      <c r="A137" s="23"/>
      <c r="B137" s="23"/>
      <c r="C137" s="23"/>
      <c r="D137" s="23"/>
      <c r="E137" s="23"/>
      <c r="F137" s="23"/>
    </row>
    <row r="138" spans="1:6" ht="16.5">
      <c r="A138" s="23"/>
      <c r="B138" s="23"/>
      <c r="C138" s="23"/>
      <c r="D138" s="23"/>
      <c r="E138" s="23"/>
      <c r="F138" s="23"/>
    </row>
    <row r="139" spans="1:6" ht="16.5">
      <c r="A139" s="23"/>
      <c r="B139" s="23"/>
      <c r="C139" s="23"/>
      <c r="D139" s="23"/>
      <c r="E139" s="23"/>
      <c r="F139" s="23"/>
    </row>
    <row r="140" spans="1:6" ht="16.5">
      <c r="A140" s="23"/>
      <c r="B140" s="23"/>
      <c r="C140" s="23"/>
      <c r="D140" s="23"/>
      <c r="E140" s="23"/>
      <c r="F140" s="23"/>
    </row>
    <row r="141" spans="1:6" ht="16.5">
      <c r="A141" s="23"/>
      <c r="B141" s="23"/>
      <c r="C141" s="23"/>
      <c r="D141" s="23"/>
      <c r="E141" s="23"/>
      <c r="F141" s="23"/>
    </row>
    <row r="142" spans="1:6" ht="16.5">
      <c r="A142" s="23"/>
      <c r="B142" s="23"/>
      <c r="C142" s="23"/>
      <c r="D142" s="23"/>
      <c r="E142" s="23"/>
      <c r="F142" s="23"/>
    </row>
    <row r="143" spans="1:6" ht="16.5">
      <c r="A143" s="23"/>
      <c r="B143" s="23"/>
      <c r="C143" s="23"/>
      <c r="D143" s="23"/>
      <c r="E143" s="23"/>
      <c r="F143" s="23"/>
    </row>
    <row r="144" spans="1:6" ht="16.5">
      <c r="A144" s="23"/>
      <c r="B144" s="23"/>
      <c r="C144" s="23"/>
      <c r="D144" s="23"/>
      <c r="E144" s="23"/>
      <c r="F144" s="23"/>
    </row>
    <row r="145" spans="1:6" ht="16.5">
      <c r="A145" s="23"/>
      <c r="B145" s="23"/>
      <c r="C145" s="23"/>
      <c r="D145" s="23"/>
      <c r="E145" s="23"/>
      <c r="F145" s="23"/>
    </row>
    <row r="146" spans="1:6" ht="16.5">
      <c r="A146" s="23"/>
      <c r="B146" s="23"/>
      <c r="C146" s="23"/>
      <c r="D146" s="23"/>
      <c r="E146" s="23"/>
      <c r="F146" s="23"/>
    </row>
    <row r="147" spans="1:6" ht="16.5">
      <c r="A147" s="23"/>
      <c r="B147" s="23"/>
      <c r="C147" s="23"/>
      <c r="D147" s="23"/>
      <c r="E147" s="23"/>
      <c r="F147" s="23"/>
    </row>
    <row r="148" spans="1:6" ht="16.5">
      <c r="A148" s="23"/>
      <c r="B148" s="23"/>
      <c r="C148" s="23"/>
      <c r="D148" s="23"/>
      <c r="E148" s="23"/>
      <c r="F148" s="23"/>
    </row>
    <row r="149" spans="1:6" ht="16.5">
      <c r="A149" s="23"/>
      <c r="B149" s="23"/>
      <c r="C149" s="23"/>
      <c r="D149" s="23"/>
      <c r="E149" s="23"/>
      <c r="F149" s="23"/>
    </row>
    <row r="150" spans="1:6" ht="16.5">
      <c r="A150" s="23"/>
      <c r="B150" s="23"/>
      <c r="C150" s="23"/>
      <c r="D150" s="23"/>
      <c r="E150" s="23"/>
      <c r="F150" s="23"/>
    </row>
    <row r="151" spans="1:6" ht="16.5">
      <c r="A151" s="23"/>
      <c r="B151" s="23"/>
      <c r="C151" s="23"/>
      <c r="D151" s="23"/>
      <c r="E151" s="23"/>
      <c r="F151" s="23"/>
    </row>
    <row r="152" spans="1:6" ht="16.5">
      <c r="A152" s="23"/>
      <c r="B152" s="23"/>
      <c r="C152" s="23"/>
      <c r="D152" s="23"/>
      <c r="E152" s="23"/>
      <c r="F152" s="23"/>
    </row>
    <row r="153" spans="1:6" ht="16.5">
      <c r="A153" s="23"/>
      <c r="B153" s="23"/>
      <c r="C153" s="23"/>
      <c r="D153" s="23"/>
      <c r="E153" s="23"/>
      <c r="F153" s="23"/>
    </row>
    <row r="154" spans="1:6" ht="16.5">
      <c r="A154" s="23"/>
      <c r="B154" s="23"/>
      <c r="C154" s="23"/>
      <c r="D154" s="23"/>
      <c r="E154" s="23"/>
      <c r="F154" s="23"/>
    </row>
    <row r="155" spans="1:6" ht="16.5">
      <c r="A155" s="23"/>
      <c r="B155" s="23"/>
      <c r="C155" s="23"/>
      <c r="D155" s="23"/>
      <c r="E155" s="23"/>
      <c r="F155" s="23"/>
    </row>
    <row r="156" spans="1:6" ht="16.5">
      <c r="A156" s="23"/>
      <c r="B156" s="23"/>
      <c r="C156" s="23"/>
      <c r="D156" s="23"/>
      <c r="E156" s="23"/>
      <c r="F156" s="23"/>
    </row>
    <row r="157" spans="1:6" ht="16.5">
      <c r="A157" s="23"/>
      <c r="B157" s="23"/>
      <c r="C157" s="23"/>
      <c r="D157" s="23"/>
      <c r="E157" s="23"/>
      <c r="F157" s="23"/>
    </row>
    <row r="158" spans="1:6" ht="16.5">
      <c r="A158" s="23"/>
      <c r="B158" s="23"/>
      <c r="C158" s="23"/>
      <c r="D158" s="23"/>
      <c r="E158" s="23"/>
      <c r="F158" s="23"/>
    </row>
    <row r="159" spans="1:6" ht="16.5">
      <c r="A159" s="23"/>
      <c r="B159" s="23"/>
      <c r="C159" s="23"/>
      <c r="D159" s="23"/>
      <c r="E159" s="23"/>
      <c r="F159" s="23"/>
    </row>
    <row r="160" spans="1:6" ht="16.5">
      <c r="A160" s="23"/>
      <c r="B160" s="23"/>
      <c r="C160" s="23"/>
      <c r="D160" s="23"/>
      <c r="E160" s="23"/>
      <c r="F160" s="23"/>
    </row>
    <row r="161" spans="1:6" ht="16.5">
      <c r="A161" s="23"/>
      <c r="B161" s="23"/>
      <c r="C161" s="23"/>
      <c r="D161" s="23"/>
      <c r="E161" s="23"/>
      <c r="F161" s="23"/>
    </row>
    <row r="162" spans="1:6" ht="16.5">
      <c r="A162" s="23"/>
      <c r="B162" s="23"/>
      <c r="C162" s="23"/>
      <c r="D162" s="23"/>
      <c r="E162" s="23"/>
      <c r="F162" s="23"/>
    </row>
    <row r="163" spans="1:6" ht="16.5">
      <c r="A163" s="23"/>
      <c r="B163" s="23"/>
      <c r="C163" s="23"/>
      <c r="D163" s="23"/>
      <c r="E163" s="23"/>
      <c r="F163" s="23"/>
    </row>
    <row r="164" spans="1:6" ht="16.5">
      <c r="A164" s="23"/>
      <c r="B164" s="23"/>
      <c r="C164" s="23"/>
      <c r="D164" s="23"/>
      <c r="E164" s="23"/>
      <c r="F164" s="23"/>
    </row>
    <row r="165" spans="1:6" ht="16.5">
      <c r="A165" s="23"/>
      <c r="B165" s="23"/>
      <c r="C165" s="23"/>
      <c r="D165" s="23"/>
      <c r="E165" s="23"/>
      <c r="F165" s="23"/>
    </row>
    <row r="166" spans="1:6" ht="16.5">
      <c r="A166" s="23"/>
      <c r="B166" s="23"/>
      <c r="C166" s="23"/>
      <c r="D166" s="23"/>
      <c r="E166" s="23"/>
      <c r="F166" s="23"/>
    </row>
    <row r="167" spans="1:6" ht="16.5">
      <c r="A167" s="23"/>
      <c r="B167" s="23"/>
      <c r="C167" s="23"/>
      <c r="D167" s="23"/>
      <c r="E167" s="23"/>
      <c r="F167" s="23"/>
    </row>
    <row r="168" spans="1:6" ht="16.5">
      <c r="A168" s="23"/>
      <c r="B168" s="23"/>
      <c r="C168" s="23"/>
      <c r="D168" s="23"/>
      <c r="E168" s="23"/>
      <c r="F168" s="23"/>
    </row>
    <row r="169" spans="1:6" ht="16.5">
      <c r="A169" s="23"/>
      <c r="B169" s="23"/>
      <c r="C169" s="23"/>
      <c r="D169" s="23"/>
      <c r="E169" s="23"/>
      <c r="F169" s="23"/>
    </row>
    <row r="170" spans="1:6" ht="16.5">
      <c r="A170" s="23"/>
      <c r="B170" s="23"/>
      <c r="C170" s="23"/>
      <c r="D170" s="23"/>
      <c r="E170" s="23"/>
      <c r="F170" s="23"/>
    </row>
    <row r="171" spans="1:6" ht="16.5">
      <c r="A171" s="23"/>
      <c r="B171" s="23"/>
      <c r="C171" s="23"/>
      <c r="D171" s="23"/>
      <c r="E171" s="23"/>
      <c r="F171" s="23"/>
    </row>
    <row r="172" spans="1:6" ht="16.5">
      <c r="A172" s="23"/>
      <c r="B172" s="23"/>
      <c r="C172" s="23"/>
      <c r="D172" s="23"/>
      <c r="E172" s="23"/>
      <c r="F172" s="23"/>
    </row>
    <row r="173" spans="1:6" ht="16.5">
      <c r="A173" s="23"/>
      <c r="B173" s="23"/>
      <c r="C173" s="23"/>
      <c r="D173" s="23"/>
      <c r="E173" s="23"/>
      <c r="F173" s="23"/>
    </row>
    <row r="174" spans="1:6" ht="16.5">
      <c r="A174" s="23"/>
      <c r="B174" s="23"/>
      <c r="C174" s="23"/>
      <c r="D174" s="23"/>
      <c r="E174" s="23"/>
      <c r="F174" s="23"/>
    </row>
    <row r="175" spans="1:6" ht="16.5">
      <c r="A175" s="23"/>
      <c r="B175" s="23"/>
      <c r="C175" s="23"/>
      <c r="D175" s="23"/>
      <c r="E175" s="23"/>
      <c r="F175" s="23"/>
    </row>
    <row r="176" spans="1:6" ht="16.5">
      <c r="A176" s="23"/>
      <c r="B176" s="23"/>
      <c r="C176" s="23"/>
      <c r="D176" s="23"/>
      <c r="E176" s="23"/>
      <c r="F176" s="23"/>
    </row>
    <row r="177" spans="1:6" ht="16.5">
      <c r="A177" s="23"/>
      <c r="B177" s="23"/>
      <c r="C177" s="23"/>
      <c r="D177" s="23"/>
      <c r="E177" s="23"/>
      <c r="F177" s="23"/>
    </row>
    <row r="178" spans="1:6" ht="16.5">
      <c r="A178" s="23"/>
      <c r="B178" s="23"/>
      <c r="C178" s="23"/>
      <c r="D178" s="23"/>
      <c r="E178" s="23"/>
      <c r="F178" s="23"/>
    </row>
    <row r="179" spans="1:6" ht="16.5">
      <c r="A179" s="23"/>
      <c r="B179" s="23"/>
      <c r="C179" s="23"/>
      <c r="D179" s="23"/>
      <c r="E179" s="23"/>
      <c r="F179" s="23"/>
    </row>
    <row r="180" spans="1:6" ht="16.5">
      <c r="A180" s="23"/>
      <c r="B180" s="23"/>
      <c r="C180" s="23"/>
      <c r="D180" s="23"/>
      <c r="E180" s="23"/>
      <c r="F180" s="23"/>
    </row>
    <row r="181" spans="1:6" ht="16.5">
      <c r="A181" s="23"/>
      <c r="B181" s="23"/>
      <c r="C181" s="23"/>
      <c r="D181" s="23"/>
      <c r="E181" s="23"/>
      <c r="F181" s="23"/>
    </row>
    <row r="182" spans="1:6" ht="16.5">
      <c r="A182" s="23"/>
      <c r="B182" s="23"/>
      <c r="C182" s="23"/>
      <c r="D182" s="23"/>
      <c r="E182" s="23"/>
      <c r="F182" s="23"/>
    </row>
    <row r="183" spans="1:6" ht="16.5">
      <c r="A183" s="23"/>
      <c r="B183" s="23"/>
      <c r="C183" s="23"/>
      <c r="D183" s="23"/>
      <c r="E183" s="23"/>
      <c r="F183" s="23"/>
    </row>
    <row r="184" spans="1:6" ht="16.5">
      <c r="A184" s="23"/>
      <c r="B184" s="23"/>
      <c r="C184" s="23"/>
      <c r="D184" s="23"/>
      <c r="E184" s="23"/>
      <c r="F184" s="23"/>
    </row>
    <row r="185" spans="1:6" ht="16.5">
      <c r="A185" s="23"/>
      <c r="B185" s="23"/>
      <c r="C185" s="23"/>
      <c r="D185" s="23"/>
      <c r="E185" s="23"/>
      <c r="F185" s="23"/>
    </row>
    <row r="186" spans="1:6" ht="16.5">
      <c r="A186" s="23"/>
      <c r="B186" s="23"/>
      <c r="C186" s="23"/>
      <c r="D186" s="23"/>
      <c r="E186" s="23"/>
      <c r="F186" s="23"/>
    </row>
    <row r="187" spans="1:6" ht="16.5">
      <c r="A187" s="23"/>
      <c r="B187" s="23"/>
      <c r="C187" s="23"/>
      <c r="D187" s="23"/>
      <c r="E187" s="23"/>
      <c r="F187" s="23"/>
    </row>
    <row r="188" spans="1:6" ht="16.5">
      <c r="A188" s="23"/>
      <c r="B188" s="23"/>
      <c r="C188" s="23"/>
      <c r="D188" s="23"/>
      <c r="E188" s="23"/>
      <c r="F188" s="23"/>
    </row>
    <row r="189" spans="1:6" ht="16.5">
      <c r="A189" s="23"/>
      <c r="B189" s="23"/>
      <c r="C189" s="23"/>
      <c r="D189" s="23"/>
      <c r="E189" s="23"/>
      <c r="F189" s="23"/>
    </row>
    <row r="190" spans="1:6" ht="16.5">
      <c r="A190" s="23"/>
      <c r="B190" s="23"/>
      <c r="C190" s="23"/>
      <c r="D190" s="23"/>
      <c r="E190" s="23"/>
      <c r="F190" s="23"/>
    </row>
    <row r="191" spans="1:6" ht="16.5">
      <c r="A191" s="23"/>
      <c r="B191" s="23"/>
      <c r="C191" s="23"/>
      <c r="D191" s="23"/>
      <c r="E191" s="23"/>
      <c r="F191" s="23"/>
    </row>
    <row r="192" spans="1:6" ht="16.5">
      <c r="A192" s="23"/>
      <c r="B192" s="23"/>
      <c r="C192" s="23"/>
      <c r="D192" s="23"/>
      <c r="E192" s="23"/>
      <c r="F192" s="23"/>
    </row>
    <row r="193" spans="1:6" ht="16.5">
      <c r="A193" s="23"/>
      <c r="B193" s="23"/>
      <c r="C193" s="23"/>
      <c r="D193" s="23"/>
      <c r="E193" s="23"/>
      <c r="F193" s="23"/>
    </row>
    <row r="194" spans="1:6" ht="16.5">
      <c r="A194" s="23"/>
      <c r="B194" s="23"/>
      <c r="C194" s="23"/>
      <c r="D194" s="23"/>
      <c r="E194" s="23"/>
      <c r="F194" s="23"/>
    </row>
    <row r="195" spans="1:6" ht="16.5">
      <c r="A195" s="23"/>
      <c r="B195" s="23"/>
      <c r="C195" s="23"/>
      <c r="D195" s="23"/>
      <c r="E195" s="23"/>
      <c r="F195" s="23"/>
    </row>
    <row r="196" spans="1:6" ht="16.5">
      <c r="A196" s="23"/>
      <c r="B196" s="23"/>
      <c r="C196" s="23"/>
      <c r="D196" s="23"/>
      <c r="E196" s="23"/>
      <c r="F196" s="23"/>
    </row>
    <row r="197" spans="1:6" ht="16.5">
      <c r="A197" s="23"/>
      <c r="B197" s="23"/>
      <c r="C197" s="23"/>
      <c r="D197" s="23"/>
      <c r="E197" s="23"/>
      <c r="F197" s="23"/>
    </row>
    <row r="198" spans="1:6" ht="16.5">
      <c r="A198" s="23"/>
      <c r="B198" s="23"/>
      <c r="C198" s="23"/>
      <c r="D198" s="23"/>
      <c r="E198" s="23"/>
      <c r="F198" s="23"/>
    </row>
    <row r="199" spans="1:6" ht="16.5">
      <c r="A199" s="23"/>
      <c r="B199" s="23"/>
      <c r="C199" s="23"/>
      <c r="D199" s="23"/>
      <c r="E199" s="23"/>
      <c r="F199" s="23"/>
    </row>
    <row r="200" spans="1:6" ht="16.5">
      <c r="A200" s="23"/>
      <c r="B200" s="23"/>
      <c r="C200" s="23"/>
      <c r="D200" s="23"/>
      <c r="E200" s="23"/>
      <c r="F200" s="23"/>
    </row>
    <row r="201" spans="1:6" ht="16.5">
      <c r="A201" s="23"/>
      <c r="B201" s="23"/>
      <c r="C201" s="23"/>
      <c r="D201" s="23"/>
      <c r="E201" s="23"/>
      <c r="F201" s="23"/>
    </row>
    <row r="202" spans="1:6" ht="16.5">
      <c r="A202" s="23"/>
      <c r="B202" s="23"/>
      <c r="C202" s="23"/>
      <c r="D202" s="23"/>
      <c r="E202" s="23"/>
      <c r="F202" s="23"/>
    </row>
    <row r="203" spans="1:6" ht="16.5">
      <c r="A203" s="23"/>
      <c r="B203" s="23"/>
      <c r="C203" s="23"/>
      <c r="D203" s="23"/>
      <c r="E203" s="23"/>
      <c r="F203" s="23"/>
    </row>
    <row r="204" spans="1:6" ht="16.5">
      <c r="A204" s="23"/>
      <c r="B204" s="23"/>
      <c r="C204" s="23"/>
      <c r="D204" s="23"/>
      <c r="E204" s="23"/>
      <c r="F204" s="23"/>
    </row>
    <row r="205" spans="1:6" ht="16.5">
      <c r="A205" s="23"/>
      <c r="B205" s="23"/>
      <c r="C205" s="23"/>
      <c r="D205" s="23"/>
      <c r="E205" s="23"/>
      <c r="F205" s="23"/>
    </row>
    <row r="206" spans="1:6" ht="16.5">
      <c r="A206" s="23"/>
      <c r="B206" s="23"/>
      <c r="C206" s="23"/>
      <c r="D206" s="23"/>
      <c r="E206" s="23"/>
      <c r="F206" s="23"/>
    </row>
    <row r="207" spans="1:6" ht="16.5">
      <c r="A207" s="23"/>
      <c r="B207" s="23"/>
      <c r="C207" s="23"/>
      <c r="D207" s="23"/>
      <c r="E207" s="23"/>
      <c r="F207" s="23"/>
    </row>
    <row r="208" spans="1:6" ht="16.5">
      <c r="A208" s="23"/>
      <c r="B208" s="23"/>
      <c r="C208" s="23"/>
      <c r="D208" s="23"/>
      <c r="E208" s="23"/>
      <c r="F208" s="23"/>
    </row>
    <row r="209" spans="1:6" ht="16.5">
      <c r="A209" s="23"/>
      <c r="B209" s="23"/>
      <c r="C209" s="23"/>
      <c r="D209" s="23"/>
      <c r="E209" s="23"/>
      <c r="F209" s="23"/>
    </row>
    <row r="210" spans="1:6" ht="16.5">
      <c r="A210" s="23"/>
      <c r="B210" s="23"/>
      <c r="C210" s="23"/>
      <c r="D210" s="23"/>
      <c r="E210" s="23"/>
      <c r="F210" s="23"/>
    </row>
    <row r="211" spans="1:6" ht="16.5">
      <c r="A211" s="23"/>
      <c r="B211" s="23"/>
      <c r="C211" s="23"/>
      <c r="D211" s="23"/>
      <c r="E211" s="23"/>
      <c r="F211" s="23"/>
    </row>
    <row r="212" spans="1:6" ht="16.5">
      <c r="A212" s="23"/>
      <c r="B212" s="23"/>
      <c r="C212" s="23"/>
      <c r="D212" s="23"/>
      <c r="E212" s="23"/>
      <c r="F212" s="23"/>
    </row>
    <row r="213" spans="1:6" ht="16.5">
      <c r="A213" s="23"/>
      <c r="B213" s="23"/>
      <c r="C213" s="23"/>
      <c r="D213" s="23"/>
      <c r="E213" s="23"/>
      <c r="F213" s="23"/>
    </row>
    <row r="214" spans="1:6" ht="16.5">
      <c r="A214" s="23"/>
      <c r="B214" s="23"/>
      <c r="C214" s="23"/>
      <c r="D214" s="23"/>
      <c r="E214" s="23"/>
      <c r="F214" s="23"/>
    </row>
    <row r="215" spans="1:6" ht="16.5">
      <c r="A215" s="23"/>
      <c r="B215" s="23"/>
      <c r="C215" s="23"/>
      <c r="D215" s="23"/>
      <c r="E215" s="23"/>
      <c r="F215" s="23"/>
    </row>
    <row r="216" spans="1:6" ht="16.5">
      <c r="A216" s="23"/>
      <c r="B216" s="23"/>
      <c r="C216" s="23"/>
      <c r="D216" s="23"/>
      <c r="E216" s="23"/>
      <c r="F216" s="23"/>
    </row>
    <row r="217" spans="1:6" ht="16.5">
      <c r="A217" s="23"/>
      <c r="B217" s="23"/>
      <c r="C217" s="23"/>
      <c r="D217" s="23"/>
      <c r="E217" s="23"/>
      <c r="F217" s="23"/>
    </row>
    <row r="218" spans="1:6" ht="16.5">
      <c r="A218" s="23"/>
      <c r="B218" s="23"/>
      <c r="C218" s="23"/>
      <c r="D218" s="23"/>
      <c r="E218" s="23"/>
      <c r="F218" s="23"/>
    </row>
    <row r="219" spans="1:6" ht="16.5">
      <c r="A219" s="23"/>
      <c r="B219" s="23"/>
      <c r="C219" s="23"/>
      <c r="D219" s="23"/>
      <c r="E219" s="23"/>
      <c r="F219" s="23"/>
    </row>
    <row r="220" spans="1:6" ht="16.5">
      <c r="A220" s="23"/>
      <c r="B220" s="23"/>
      <c r="C220" s="23"/>
      <c r="D220" s="23"/>
      <c r="E220" s="23"/>
      <c r="F220" s="23"/>
    </row>
    <row r="221" spans="1:6" ht="16.5">
      <c r="A221" s="23"/>
      <c r="B221" s="23"/>
      <c r="C221" s="23"/>
      <c r="D221" s="23"/>
      <c r="E221" s="23"/>
      <c r="F221" s="23"/>
    </row>
    <row r="222" spans="1:6" ht="16.5">
      <c r="A222" s="23"/>
      <c r="B222" s="23"/>
      <c r="C222" s="23"/>
      <c r="D222" s="23"/>
      <c r="E222" s="23"/>
      <c r="F222" s="23"/>
    </row>
    <row r="223" spans="1:6" ht="16.5">
      <c r="A223" s="23"/>
      <c r="B223" s="23"/>
      <c r="C223" s="23"/>
      <c r="D223" s="23"/>
      <c r="E223" s="23"/>
      <c r="F223" s="23"/>
    </row>
    <row r="224" spans="1:6" ht="16.5">
      <c r="A224" s="23"/>
      <c r="B224" s="23"/>
      <c r="C224" s="23"/>
      <c r="D224" s="23"/>
      <c r="E224" s="23"/>
      <c r="F224" s="23"/>
    </row>
    <row r="225" spans="1:6" ht="16.5">
      <c r="A225" s="23"/>
      <c r="B225" s="23"/>
      <c r="C225" s="23"/>
      <c r="D225" s="23"/>
      <c r="E225" s="23"/>
      <c r="F225" s="23"/>
    </row>
    <row r="226" spans="1:6" ht="16.5">
      <c r="A226" s="23"/>
      <c r="B226" s="23"/>
      <c r="C226" s="23"/>
      <c r="D226" s="23"/>
      <c r="E226" s="23"/>
      <c r="F226" s="23"/>
    </row>
    <row r="227" spans="1:6" ht="16.5">
      <c r="A227" s="23"/>
      <c r="B227" s="23"/>
      <c r="C227" s="23"/>
      <c r="D227" s="23"/>
      <c r="E227" s="23"/>
      <c r="F227" s="23"/>
    </row>
    <row r="228" spans="1:6" ht="16.5">
      <c r="A228" s="23"/>
      <c r="B228" s="23"/>
      <c r="C228" s="23"/>
      <c r="D228" s="23"/>
      <c r="E228" s="23"/>
      <c r="F228" s="23"/>
    </row>
    <row r="229" spans="1:6" ht="16.5">
      <c r="A229" s="23"/>
      <c r="B229" s="23"/>
      <c r="C229" s="23"/>
      <c r="D229" s="23"/>
      <c r="E229" s="23"/>
      <c r="F229" s="23"/>
    </row>
    <row r="230" spans="1:6" ht="16.5">
      <c r="A230" s="23"/>
      <c r="B230" s="23"/>
      <c r="C230" s="23"/>
      <c r="D230" s="23"/>
      <c r="E230" s="23"/>
      <c r="F230" s="23"/>
    </row>
    <row r="231" spans="1:6" ht="16.5">
      <c r="A231" s="23"/>
      <c r="B231" s="23"/>
      <c r="C231" s="23"/>
      <c r="D231" s="23"/>
      <c r="E231" s="23"/>
      <c r="F231" s="23"/>
    </row>
    <row r="232" spans="1:6" ht="16.5">
      <c r="A232" s="23"/>
      <c r="B232" s="23"/>
      <c r="C232" s="23"/>
      <c r="D232" s="23"/>
      <c r="E232" s="23"/>
      <c r="F232" s="23"/>
    </row>
    <row r="233" spans="1:6" ht="16.5">
      <c r="A233" s="23"/>
      <c r="B233" s="23"/>
      <c r="C233" s="23"/>
      <c r="D233" s="23"/>
      <c r="E233" s="23"/>
      <c r="F233" s="23"/>
    </row>
    <row r="234" spans="1:6" ht="16.5">
      <c r="A234" s="23"/>
      <c r="B234" s="23"/>
      <c r="C234" s="23"/>
      <c r="D234" s="23"/>
      <c r="E234" s="23"/>
      <c r="F234" s="23"/>
    </row>
    <row r="235" spans="1:6" ht="16.5">
      <c r="A235" s="23"/>
      <c r="B235" s="23"/>
      <c r="C235" s="23"/>
      <c r="D235" s="23"/>
      <c r="E235" s="23"/>
      <c r="F235" s="23"/>
    </row>
    <row r="236" spans="1:6" ht="16.5">
      <c r="A236" s="23"/>
      <c r="B236" s="23"/>
      <c r="C236" s="23"/>
      <c r="D236" s="23"/>
      <c r="E236" s="23"/>
      <c r="F236" s="23"/>
    </row>
    <row r="237" spans="1:6" ht="16.5">
      <c r="A237" s="23"/>
      <c r="B237" s="23"/>
      <c r="C237" s="23"/>
      <c r="D237" s="23"/>
      <c r="E237" s="23"/>
      <c r="F237" s="23"/>
    </row>
    <row r="238" spans="1:6" ht="16.5">
      <c r="A238" s="23"/>
      <c r="B238" s="23"/>
      <c r="C238" s="23"/>
      <c r="D238" s="23"/>
      <c r="E238" s="23"/>
      <c r="F238" s="23"/>
    </row>
    <row r="239" spans="1:6" ht="16.5">
      <c r="A239" s="23"/>
      <c r="B239" s="23"/>
      <c r="C239" s="23"/>
      <c r="D239" s="23"/>
      <c r="E239" s="23"/>
      <c r="F239" s="23"/>
    </row>
    <row r="240" spans="1:6" ht="16.5">
      <c r="A240" s="23"/>
      <c r="B240" s="23"/>
      <c r="C240" s="23"/>
      <c r="D240" s="23"/>
      <c r="E240" s="23"/>
      <c r="F240" s="23"/>
    </row>
    <row r="241" spans="1:6" ht="16.5">
      <c r="A241" s="23"/>
      <c r="B241" s="23"/>
      <c r="C241" s="23"/>
      <c r="D241" s="23"/>
      <c r="E241" s="23"/>
      <c r="F241" s="23"/>
    </row>
    <row r="242" spans="1:6" ht="16.5">
      <c r="A242" s="23"/>
      <c r="B242" s="23"/>
      <c r="C242" s="23"/>
      <c r="D242" s="23"/>
      <c r="E242" s="23"/>
      <c r="F242" s="23"/>
    </row>
    <row r="243" spans="1:6" ht="16.5">
      <c r="A243" s="23"/>
      <c r="B243" s="23"/>
      <c r="C243" s="23"/>
      <c r="D243" s="23"/>
      <c r="E243" s="23"/>
      <c r="F243" s="23"/>
    </row>
    <row r="244" spans="1:6" ht="16.5">
      <c r="A244" s="23"/>
      <c r="B244" s="23"/>
      <c r="C244" s="23"/>
      <c r="D244" s="23"/>
      <c r="E244" s="23"/>
      <c r="F244" s="23"/>
    </row>
    <row r="245" spans="1:6" ht="16.5">
      <c r="A245" s="23"/>
      <c r="B245" s="23"/>
      <c r="C245" s="23"/>
      <c r="D245" s="23"/>
      <c r="E245" s="23"/>
      <c r="F245" s="23"/>
    </row>
    <row r="246" spans="1:6" ht="16.5">
      <c r="A246" s="23"/>
      <c r="B246" s="23"/>
      <c r="C246" s="23"/>
      <c r="D246" s="23"/>
      <c r="E246" s="23"/>
      <c r="F246" s="23"/>
    </row>
    <row r="247" spans="1:6" ht="16.5">
      <c r="A247" s="23"/>
      <c r="B247" s="23"/>
      <c r="C247" s="23"/>
      <c r="D247" s="23"/>
      <c r="E247" s="23"/>
      <c r="F247" s="23"/>
    </row>
    <row r="248" spans="1:6" ht="16.5">
      <c r="A248" s="23"/>
      <c r="B248" s="23"/>
      <c r="C248" s="23"/>
      <c r="D248" s="23"/>
      <c r="E248" s="23"/>
      <c r="F248" s="23"/>
    </row>
    <row r="249" spans="1:6" ht="16.5">
      <c r="A249" s="23"/>
      <c r="B249" s="23"/>
      <c r="C249" s="23"/>
      <c r="D249" s="23"/>
      <c r="E249" s="23"/>
      <c r="F249" s="23"/>
    </row>
    <row r="250" spans="1:6" ht="16.5">
      <c r="A250" s="23"/>
      <c r="B250" s="23"/>
      <c r="C250" s="23"/>
      <c r="D250" s="23"/>
      <c r="E250" s="23"/>
      <c r="F250" s="23"/>
    </row>
    <row r="251" spans="1:6" ht="16.5">
      <c r="A251" s="23"/>
      <c r="B251" s="23"/>
      <c r="C251" s="23"/>
      <c r="D251" s="23"/>
      <c r="E251" s="23"/>
      <c r="F251" s="23"/>
    </row>
    <row r="252" spans="1:6" ht="16.5">
      <c r="A252" s="23"/>
      <c r="B252" s="23"/>
      <c r="C252" s="23"/>
      <c r="D252" s="23"/>
      <c r="E252" s="23"/>
      <c r="F252" s="23"/>
    </row>
    <row r="253" spans="1:6" ht="16.5">
      <c r="A253" s="23"/>
      <c r="B253" s="23"/>
      <c r="C253" s="23"/>
      <c r="D253" s="23"/>
      <c r="E253" s="23"/>
      <c r="F253" s="23"/>
    </row>
    <row r="254" spans="1:6" ht="16.5">
      <c r="A254" s="23"/>
      <c r="B254" s="23"/>
      <c r="C254" s="23"/>
      <c r="D254" s="23"/>
      <c r="E254" s="23"/>
      <c r="F254" s="23"/>
    </row>
    <row r="255" spans="1:6" ht="16.5">
      <c r="A255" s="23"/>
      <c r="B255" s="23"/>
      <c r="C255" s="23"/>
      <c r="D255" s="23"/>
      <c r="E255" s="23"/>
      <c r="F255" s="23"/>
    </row>
    <row r="256" spans="1:6" ht="16.5">
      <c r="A256" s="23"/>
      <c r="B256" s="23"/>
      <c r="C256" s="23"/>
      <c r="D256" s="23"/>
      <c r="E256" s="23"/>
      <c r="F256" s="23"/>
    </row>
    <row r="257" spans="1:6" ht="16.5">
      <c r="A257" s="23"/>
      <c r="B257" s="23"/>
      <c r="C257" s="23"/>
      <c r="D257" s="23"/>
      <c r="E257" s="23"/>
      <c r="F257" s="23"/>
    </row>
    <row r="258" spans="1:6" ht="16.5">
      <c r="A258" s="23"/>
      <c r="B258" s="23"/>
      <c r="C258" s="23"/>
      <c r="D258" s="23"/>
      <c r="E258" s="23"/>
      <c r="F258" s="23"/>
    </row>
    <row r="259" spans="1:6" ht="16.5">
      <c r="A259" s="23"/>
      <c r="B259" s="23"/>
      <c r="C259" s="23"/>
      <c r="D259" s="23"/>
      <c r="E259" s="23"/>
      <c r="F259" s="23"/>
    </row>
    <row r="260" spans="1:6" ht="16.5">
      <c r="A260" s="23"/>
      <c r="B260" s="23"/>
      <c r="C260" s="23"/>
      <c r="D260" s="23"/>
      <c r="E260" s="23"/>
      <c r="F260" s="23"/>
    </row>
    <row r="261" spans="1:6" ht="16.5">
      <c r="A261" s="23"/>
      <c r="B261" s="23"/>
      <c r="C261" s="23"/>
      <c r="D261" s="23"/>
      <c r="E261" s="23"/>
      <c r="F261" s="23"/>
    </row>
    <row r="262" spans="1:6" ht="16.5">
      <c r="A262" s="23"/>
      <c r="B262" s="23"/>
      <c r="C262" s="23"/>
      <c r="D262" s="23"/>
      <c r="E262" s="23"/>
      <c r="F262" s="23"/>
    </row>
    <row r="263" spans="1:6" ht="16.5">
      <c r="A263" s="23"/>
      <c r="B263" s="23"/>
      <c r="C263" s="23"/>
      <c r="D263" s="23"/>
      <c r="E263" s="23"/>
      <c r="F263" s="23"/>
    </row>
    <row r="264" spans="1:6" ht="16.5">
      <c r="A264" s="23"/>
      <c r="B264" s="23"/>
      <c r="C264" s="23"/>
      <c r="D264" s="23"/>
      <c r="E264" s="23"/>
      <c r="F264" s="23"/>
    </row>
    <row r="265" spans="1:6" ht="16.5">
      <c r="A265" s="23"/>
      <c r="B265" s="23"/>
      <c r="C265" s="23"/>
      <c r="D265" s="23"/>
      <c r="E265" s="23"/>
      <c r="F265" s="23"/>
    </row>
    <row r="266" spans="1:6" ht="16.5">
      <c r="A266" s="23"/>
      <c r="B266" s="23"/>
      <c r="C266" s="23"/>
      <c r="D266" s="23"/>
      <c r="E266" s="23"/>
      <c r="F266" s="23"/>
    </row>
    <row r="267" spans="1:6" ht="16.5">
      <c r="A267" s="23"/>
      <c r="B267" s="23"/>
      <c r="C267" s="23"/>
      <c r="D267" s="23"/>
      <c r="E267" s="23"/>
      <c r="F267" s="23"/>
    </row>
    <row r="268" spans="1:6" ht="16.5">
      <c r="A268" s="23"/>
      <c r="B268" s="23"/>
      <c r="C268" s="23"/>
      <c r="D268" s="23"/>
      <c r="E268" s="23"/>
      <c r="F268" s="23"/>
    </row>
    <row r="269" spans="1:6" ht="16.5">
      <c r="A269" s="23"/>
      <c r="B269" s="23"/>
      <c r="C269" s="23"/>
      <c r="D269" s="23"/>
      <c r="E269" s="23"/>
      <c r="F269" s="23"/>
    </row>
    <row r="270" spans="1:6" ht="16.5">
      <c r="A270" s="23"/>
      <c r="B270" s="23"/>
      <c r="C270" s="23"/>
      <c r="D270" s="23"/>
      <c r="E270" s="23"/>
      <c r="F270" s="23"/>
    </row>
    <row r="271" spans="1:6" ht="16.5">
      <c r="A271" s="23"/>
      <c r="B271" s="23"/>
      <c r="C271" s="23"/>
      <c r="D271" s="23"/>
      <c r="E271" s="23"/>
      <c r="F271" s="23"/>
    </row>
    <row r="272" spans="1:6" ht="16.5">
      <c r="A272" s="23"/>
      <c r="B272" s="23"/>
      <c r="C272" s="23"/>
      <c r="D272" s="23"/>
      <c r="E272" s="23"/>
      <c r="F272" s="23"/>
    </row>
    <row r="273" spans="1:6" ht="16.5">
      <c r="A273" s="23"/>
      <c r="B273" s="23"/>
      <c r="C273" s="23"/>
      <c r="D273" s="23"/>
      <c r="E273" s="23"/>
      <c r="F273" s="23"/>
    </row>
    <row r="274" spans="1:6" ht="16.5">
      <c r="A274" s="23"/>
      <c r="B274" s="23"/>
      <c r="C274" s="23"/>
      <c r="D274" s="23"/>
      <c r="E274" s="23"/>
      <c r="F274" s="23"/>
    </row>
    <row r="275" spans="1:6" ht="16.5">
      <c r="A275" s="23"/>
      <c r="B275" s="23"/>
      <c r="C275" s="23"/>
      <c r="D275" s="23"/>
      <c r="E275" s="23"/>
      <c r="F275" s="23"/>
    </row>
    <row r="276" spans="1:6" ht="16.5">
      <c r="A276" s="23"/>
      <c r="B276" s="23"/>
      <c r="C276" s="23"/>
      <c r="D276" s="23"/>
      <c r="E276" s="23"/>
      <c r="F276" s="23"/>
    </row>
    <row r="277" spans="1:6" ht="16.5">
      <c r="A277" s="23"/>
      <c r="B277" s="23"/>
      <c r="C277" s="23"/>
      <c r="D277" s="23"/>
      <c r="E277" s="23"/>
      <c r="F277" s="23"/>
    </row>
    <row r="278" spans="1:6" ht="16.5">
      <c r="A278" s="23"/>
      <c r="B278" s="23"/>
      <c r="C278" s="23"/>
      <c r="D278" s="23"/>
      <c r="E278" s="23"/>
      <c r="F278" s="23"/>
    </row>
    <row r="279" spans="1:6" ht="16.5">
      <c r="A279" s="23"/>
      <c r="B279" s="23"/>
      <c r="C279" s="23"/>
      <c r="D279" s="23"/>
      <c r="E279" s="23"/>
      <c r="F279" s="23"/>
    </row>
    <row r="280" spans="1:6" ht="16.5">
      <c r="A280" s="23"/>
      <c r="B280" s="23"/>
      <c r="C280" s="23"/>
      <c r="D280" s="23"/>
      <c r="E280" s="23"/>
      <c r="F280" s="23"/>
    </row>
    <row r="281" spans="1:6" ht="16.5">
      <c r="A281" s="23"/>
      <c r="B281" s="23"/>
      <c r="C281" s="23"/>
      <c r="D281" s="23"/>
      <c r="E281" s="23"/>
      <c r="F281" s="23"/>
    </row>
    <row r="282" spans="1:6" ht="16.5">
      <c r="A282" s="23"/>
      <c r="B282" s="23"/>
      <c r="C282" s="23"/>
      <c r="D282" s="23"/>
      <c r="E282" s="23"/>
      <c r="F282" s="23"/>
    </row>
    <row r="283" spans="1:6" ht="16.5">
      <c r="A283" s="23"/>
      <c r="B283" s="23"/>
      <c r="C283" s="23"/>
      <c r="D283" s="23"/>
      <c r="E283" s="23"/>
      <c r="F283" s="23"/>
    </row>
    <row r="284" spans="1:6" ht="16.5">
      <c r="A284" s="23"/>
      <c r="B284" s="23"/>
      <c r="C284" s="23"/>
      <c r="D284" s="23"/>
      <c r="E284" s="23"/>
      <c r="F284" s="23"/>
    </row>
    <row r="285" spans="1:6" ht="16.5">
      <c r="A285" s="23"/>
      <c r="B285" s="23"/>
      <c r="C285" s="23"/>
      <c r="D285" s="23"/>
      <c r="E285" s="23"/>
      <c r="F285" s="23"/>
    </row>
    <row r="286" spans="1:6" ht="16.5">
      <c r="A286" s="23"/>
      <c r="B286" s="23"/>
      <c r="C286" s="23"/>
      <c r="D286" s="23"/>
      <c r="E286" s="23"/>
      <c r="F286" s="23"/>
    </row>
    <row r="287" spans="1:6" ht="16.5">
      <c r="A287" s="23"/>
      <c r="B287" s="23"/>
      <c r="C287" s="23"/>
      <c r="D287" s="23"/>
      <c r="E287" s="23"/>
      <c r="F287" s="23"/>
    </row>
    <row r="288" spans="1:6" ht="16.5">
      <c r="A288" s="23"/>
      <c r="B288" s="23"/>
      <c r="C288" s="23"/>
      <c r="D288" s="23"/>
      <c r="E288" s="23"/>
      <c r="F288" s="23"/>
    </row>
    <row r="289" spans="1:6" ht="16.5">
      <c r="A289" s="23"/>
      <c r="B289" s="23"/>
      <c r="C289" s="23"/>
      <c r="D289" s="23"/>
      <c r="E289" s="23"/>
      <c r="F289" s="23"/>
    </row>
    <row r="290" spans="1:6" ht="16.5">
      <c r="A290" s="23"/>
      <c r="B290" s="23"/>
      <c r="C290" s="23"/>
      <c r="D290" s="23"/>
      <c r="E290" s="23"/>
      <c r="F290" s="23"/>
    </row>
    <row r="291" spans="1:6" ht="16.5">
      <c r="A291" s="23"/>
      <c r="B291" s="23"/>
      <c r="C291" s="23"/>
      <c r="D291" s="23"/>
      <c r="E291" s="23"/>
      <c r="F291" s="23"/>
    </row>
    <row r="292" spans="1:6" ht="16.5">
      <c r="A292" s="23"/>
      <c r="B292" s="23"/>
      <c r="C292" s="23"/>
      <c r="D292" s="23"/>
      <c r="E292" s="23"/>
      <c r="F292" s="23"/>
    </row>
    <row r="293" spans="1:6" ht="16.5">
      <c r="A293" s="23"/>
      <c r="B293" s="23"/>
      <c r="C293" s="23"/>
      <c r="D293" s="23"/>
      <c r="E293" s="23"/>
      <c r="F293" s="23"/>
    </row>
    <row r="294" spans="1:6" ht="16.5">
      <c r="A294" s="23"/>
      <c r="B294" s="23"/>
      <c r="C294" s="23"/>
      <c r="D294" s="23"/>
      <c r="E294" s="23"/>
      <c r="F294" s="23"/>
    </row>
    <row r="295" spans="1:6" ht="16.5">
      <c r="A295" s="23"/>
      <c r="B295" s="23"/>
      <c r="C295" s="23"/>
      <c r="D295" s="23"/>
      <c r="E295" s="23"/>
      <c r="F295" s="23"/>
    </row>
    <row r="296" spans="1:6" ht="16.5">
      <c r="A296" s="23"/>
      <c r="B296" s="23"/>
      <c r="C296" s="23"/>
      <c r="D296" s="23"/>
      <c r="E296" s="23"/>
      <c r="F296" s="23"/>
    </row>
    <row r="297" spans="1:6" ht="16.5">
      <c r="A297" s="23"/>
      <c r="B297" s="23"/>
      <c r="C297" s="23"/>
      <c r="D297" s="23"/>
      <c r="E297" s="23"/>
      <c r="F297" s="23"/>
    </row>
    <row r="298" spans="1:6" ht="16.5">
      <c r="A298" s="23"/>
      <c r="B298" s="23"/>
      <c r="C298" s="23"/>
      <c r="D298" s="23"/>
      <c r="E298" s="23"/>
      <c r="F298" s="23"/>
    </row>
    <row r="299" spans="1:6" ht="16.5">
      <c r="A299" s="23"/>
      <c r="B299" s="23"/>
      <c r="C299" s="23"/>
      <c r="D299" s="23"/>
      <c r="E299" s="23"/>
      <c r="F299" s="23"/>
    </row>
    <row r="300" spans="1:6" ht="16.5">
      <c r="A300" s="23"/>
      <c r="B300" s="23"/>
      <c r="C300" s="23"/>
      <c r="D300" s="23"/>
      <c r="E300" s="23"/>
      <c r="F300" s="23"/>
    </row>
    <row r="301" spans="1:6" ht="16.5">
      <c r="A301" s="23"/>
      <c r="B301" s="23"/>
      <c r="C301" s="23"/>
      <c r="D301" s="23"/>
      <c r="E301" s="23"/>
      <c r="F301" s="23"/>
    </row>
    <row r="302" spans="1:6" ht="16.5">
      <c r="A302" s="23"/>
      <c r="B302" s="23"/>
      <c r="C302" s="23"/>
      <c r="D302" s="23"/>
      <c r="E302" s="23"/>
      <c r="F302" s="23"/>
    </row>
    <row r="303" spans="1:6" ht="16.5">
      <c r="A303" s="23"/>
      <c r="B303" s="23"/>
      <c r="C303" s="23"/>
      <c r="D303" s="23"/>
      <c r="E303" s="23"/>
      <c r="F303" s="23"/>
    </row>
    <row r="304" spans="1:6" ht="16.5">
      <c r="A304" s="23"/>
      <c r="B304" s="23"/>
      <c r="C304" s="23"/>
      <c r="D304" s="23"/>
      <c r="E304" s="23"/>
      <c r="F304" s="23"/>
    </row>
    <row r="305" spans="1:6" ht="16.5">
      <c r="A305" s="23"/>
      <c r="B305" s="23"/>
      <c r="C305" s="23"/>
      <c r="D305" s="23"/>
      <c r="E305" s="23"/>
      <c r="F305" s="23"/>
    </row>
    <row r="306" spans="1:6" ht="16.5">
      <c r="A306" s="23"/>
      <c r="B306" s="23"/>
      <c r="C306" s="23"/>
      <c r="D306" s="23"/>
      <c r="E306" s="23"/>
      <c r="F306" s="23"/>
    </row>
    <row r="307" spans="1:6" ht="16.5">
      <c r="A307" s="23"/>
      <c r="B307" s="23"/>
      <c r="C307" s="23"/>
      <c r="D307" s="23"/>
      <c r="E307" s="23"/>
      <c r="F307" s="23"/>
    </row>
    <row r="308" spans="1:6" ht="16.5">
      <c r="A308" s="23"/>
      <c r="B308" s="23"/>
      <c r="C308" s="23"/>
      <c r="D308" s="23"/>
      <c r="E308" s="23"/>
      <c r="F308" s="23"/>
    </row>
    <row r="309" spans="1:6" ht="16.5">
      <c r="A309" s="23"/>
      <c r="B309" s="23"/>
      <c r="C309" s="23"/>
      <c r="D309" s="23"/>
      <c r="E309" s="23"/>
      <c r="F309" s="23"/>
    </row>
    <row r="310" spans="1:6" ht="16.5">
      <c r="A310" s="23"/>
      <c r="B310" s="23"/>
      <c r="C310" s="23"/>
      <c r="D310" s="23"/>
      <c r="E310" s="23"/>
      <c r="F310" s="23"/>
    </row>
    <row r="311" spans="1:6" ht="16.5">
      <c r="A311" s="23"/>
      <c r="B311" s="23"/>
      <c r="C311" s="23"/>
      <c r="D311" s="23"/>
      <c r="E311" s="23"/>
      <c r="F311" s="23"/>
    </row>
    <row r="312" spans="1:6" ht="16.5">
      <c r="A312" s="23"/>
      <c r="B312" s="23"/>
      <c r="C312" s="23"/>
      <c r="D312" s="23"/>
      <c r="E312" s="23"/>
      <c r="F312" s="23"/>
    </row>
    <row r="313" spans="1:6" ht="16.5">
      <c r="A313" s="23"/>
      <c r="B313" s="23"/>
      <c r="C313" s="23"/>
      <c r="D313" s="23"/>
      <c r="E313" s="23"/>
      <c r="F313" s="23"/>
    </row>
    <row r="314" spans="1:6" ht="16.5">
      <c r="A314" s="23"/>
      <c r="B314" s="23"/>
      <c r="C314" s="23"/>
      <c r="D314" s="23"/>
      <c r="E314" s="23"/>
      <c r="F314" s="23"/>
    </row>
    <row r="315" spans="1:6" ht="16.5">
      <c r="A315" s="23"/>
      <c r="B315" s="23"/>
      <c r="C315" s="23"/>
      <c r="D315" s="23"/>
      <c r="E315" s="23"/>
      <c r="F315" s="23"/>
    </row>
    <row r="316" spans="1:6" ht="16.5">
      <c r="A316" s="23"/>
      <c r="B316" s="23"/>
      <c r="C316" s="23"/>
      <c r="D316" s="23"/>
      <c r="E316" s="23"/>
      <c r="F316" s="23"/>
    </row>
    <row r="317" spans="1:6" ht="16.5">
      <c r="A317" s="23"/>
      <c r="B317" s="23"/>
      <c r="C317" s="23"/>
      <c r="D317" s="23"/>
      <c r="E317" s="23"/>
      <c r="F317" s="23"/>
    </row>
    <row r="318" spans="1:6" ht="16.5">
      <c r="A318" s="23"/>
      <c r="B318" s="23"/>
      <c r="C318" s="23"/>
      <c r="D318" s="23"/>
      <c r="E318" s="23"/>
      <c r="F318" s="23"/>
    </row>
    <row r="319" spans="1:6" ht="16.5">
      <c r="A319" s="23"/>
      <c r="B319" s="23"/>
      <c r="C319" s="23"/>
      <c r="D319" s="23"/>
      <c r="E319" s="23"/>
      <c r="F319" s="23"/>
    </row>
    <row r="320" spans="1:6" ht="16.5">
      <c r="A320" s="23"/>
      <c r="B320" s="23"/>
      <c r="C320" s="23"/>
      <c r="D320" s="23"/>
      <c r="E320" s="23"/>
      <c r="F320" s="23"/>
    </row>
    <row r="321" spans="1:6" ht="16.5">
      <c r="A321" s="23"/>
      <c r="B321" s="23"/>
      <c r="C321" s="23"/>
      <c r="D321" s="23"/>
      <c r="E321" s="23"/>
      <c r="F321" s="23"/>
    </row>
    <row r="322" spans="1:6" ht="16.5">
      <c r="A322" s="23"/>
      <c r="B322" s="23"/>
      <c r="C322" s="23"/>
      <c r="D322" s="23"/>
      <c r="E322" s="23"/>
      <c r="F322" s="23"/>
    </row>
    <row r="323" spans="1:6" ht="16.5">
      <c r="A323" s="23"/>
      <c r="B323" s="23"/>
      <c r="C323" s="23"/>
      <c r="D323" s="23"/>
      <c r="E323" s="23"/>
      <c r="F323" s="23"/>
    </row>
    <row r="324" spans="1:6" ht="16.5">
      <c r="A324" s="23"/>
      <c r="B324" s="23"/>
      <c r="C324" s="23"/>
      <c r="D324" s="23"/>
      <c r="E324" s="23"/>
      <c r="F324" s="23"/>
    </row>
    <row r="325" spans="1:6" ht="16.5">
      <c r="A325" s="23"/>
      <c r="B325" s="23"/>
      <c r="C325" s="23"/>
      <c r="D325" s="23"/>
      <c r="E325" s="23"/>
      <c r="F325" s="23"/>
    </row>
    <row r="326" spans="1:6" ht="16.5">
      <c r="A326" s="23"/>
      <c r="B326" s="23"/>
      <c r="C326" s="23"/>
      <c r="D326" s="23"/>
      <c r="E326" s="23"/>
      <c r="F326" s="23"/>
    </row>
    <row r="327" spans="1:6" ht="16.5">
      <c r="A327" s="23"/>
      <c r="B327" s="23"/>
      <c r="C327" s="23"/>
      <c r="D327" s="23"/>
      <c r="E327" s="23"/>
      <c r="F327" s="23"/>
    </row>
    <row r="328" spans="1:6" ht="16.5">
      <c r="A328" s="23"/>
      <c r="B328" s="23"/>
      <c r="C328" s="23"/>
      <c r="D328" s="23"/>
      <c r="E328" s="23"/>
      <c r="F328" s="23"/>
    </row>
    <row r="329" spans="1:6" ht="16.5">
      <c r="A329" s="23"/>
      <c r="B329" s="23"/>
      <c r="C329" s="23"/>
      <c r="D329" s="23"/>
      <c r="E329" s="23"/>
      <c r="F329" s="23"/>
    </row>
    <row r="330" spans="1:6" ht="16.5">
      <c r="A330" s="23"/>
      <c r="B330" s="23"/>
      <c r="C330" s="23"/>
      <c r="D330" s="23"/>
      <c r="E330" s="23"/>
      <c r="F330" s="23"/>
    </row>
    <row r="331" spans="1:6" ht="16.5">
      <c r="A331" s="23"/>
      <c r="B331" s="23"/>
      <c r="C331" s="23"/>
      <c r="D331" s="23"/>
      <c r="E331" s="23"/>
      <c r="F331" s="23"/>
    </row>
    <row r="332" spans="1:6" ht="16.5">
      <c r="A332" s="23"/>
      <c r="B332" s="23"/>
      <c r="C332" s="23"/>
      <c r="D332" s="23"/>
      <c r="E332" s="23"/>
      <c r="F332" s="23"/>
    </row>
    <row r="333" spans="1:6" ht="16.5">
      <c r="A333" s="23"/>
      <c r="B333" s="23"/>
      <c r="C333" s="23"/>
      <c r="D333" s="23"/>
      <c r="E333" s="23"/>
      <c r="F333" s="23"/>
    </row>
    <row r="334" spans="1:6" ht="16.5">
      <c r="A334" s="23"/>
      <c r="B334" s="23"/>
      <c r="C334" s="23"/>
      <c r="D334" s="23"/>
      <c r="E334" s="23"/>
      <c r="F334" s="23"/>
    </row>
    <row r="335" spans="1:6" ht="16.5">
      <c r="A335" s="23"/>
      <c r="B335" s="23"/>
      <c r="C335" s="23"/>
      <c r="D335" s="23"/>
      <c r="E335" s="23"/>
      <c r="F335" s="23"/>
    </row>
    <row r="336" spans="1:6" ht="16.5">
      <c r="A336" s="23"/>
      <c r="B336" s="23"/>
      <c r="C336" s="23"/>
      <c r="D336" s="23"/>
      <c r="E336" s="23"/>
      <c r="F336" s="23"/>
    </row>
    <row r="337" spans="1:6" ht="16.5">
      <c r="A337" s="23"/>
      <c r="B337" s="23"/>
      <c r="C337" s="23"/>
      <c r="D337" s="23"/>
      <c r="E337" s="23"/>
      <c r="F337" s="23"/>
    </row>
    <row r="338" spans="1:6" ht="16.5">
      <c r="A338" s="23"/>
      <c r="B338" s="23"/>
      <c r="C338" s="23"/>
      <c r="D338" s="23"/>
      <c r="E338" s="23"/>
      <c r="F338" s="23"/>
    </row>
    <row r="339" spans="1:6" ht="16.5">
      <c r="A339" s="23"/>
      <c r="B339" s="23"/>
      <c r="C339" s="23"/>
      <c r="D339" s="23"/>
      <c r="E339" s="23"/>
      <c r="F339" s="23"/>
    </row>
    <row r="340" spans="1:6" ht="16.5">
      <c r="A340" s="23"/>
      <c r="B340" s="23"/>
      <c r="C340" s="23"/>
      <c r="D340" s="23"/>
      <c r="E340" s="23"/>
      <c r="F340" s="23"/>
    </row>
    <row r="341" spans="1:6" ht="16.5">
      <c r="A341" s="23"/>
      <c r="B341" s="23"/>
      <c r="C341" s="23"/>
      <c r="D341" s="23"/>
      <c r="E341" s="23"/>
      <c r="F341" s="23"/>
    </row>
    <row r="342" spans="1:6" ht="16.5">
      <c r="A342" s="23"/>
      <c r="B342" s="23"/>
      <c r="C342" s="23"/>
      <c r="D342" s="23"/>
      <c r="E342" s="23"/>
      <c r="F342" s="23"/>
    </row>
    <row r="343" spans="1:6" ht="16.5">
      <c r="A343" s="23"/>
      <c r="B343" s="23"/>
      <c r="C343" s="23"/>
      <c r="D343" s="23"/>
      <c r="E343" s="23"/>
      <c r="F343" s="23"/>
    </row>
    <row r="344" spans="1:6" ht="16.5">
      <c r="A344" s="23"/>
      <c r="B344" s="23"/>
      <c r="C344" s="23"/>
      <c r="D344" s="23"/>
      <c r="E344" s="23"/>
      <c r="F344" s="23"/>
    </row>
    <row r="345" spans="1:6" ht="16.5">
      <c r="A345" s="23"/>
      <c r="B345" s="23"/>
      <c r="C345" s="23"/>
      <c r="D345" s="23"/>
      <c r="E345" s="23"/>
      <c r="F345" s="23"/>
    </row>
    <row r="346" spans="1:6" ht="16.5">
      <c r="A346" s="23"/>
      <c r="B346" s="23"/>
      <c r="C346" s="23"/>
      <c r="D346" s="23"/>
      <c r="E346" s="23"/>
      <c r="F346" s="23"/>
    </row>
    <row r="347" spans="1:6" ht="16.5">
      <c r="A347" s="23"/>
      <c r="B347" s="23"/>
      <c r="C347" s="23"/>
      <c r="D347" s="23"/>
      <c r="E347" s="23"/>
      <c r="F347" s="23"/>
    </row>
    <row r="348" spans="1:6" ht="16.5">
      <c r="A348" s="23"/>
      <c r="B348" s="23"/>
      <c r="C348" s="23"/>
      <c r="D348" s="23"/>
      <c r="E348" s="23"/>
      <c r="F348" s="23"/>
    </row>
    <row r="349" spans="1:6" ht="16.5">
      <c r="A349" s="23"/>
      <c r="B349" s="23"/>
      <c r="C349" s="23"/>
      <c r="D349" s="23"/>
      <c r="E349" s="23"/>
      <c r="F349" s="23"/>
    </row>
    <row r="350" spans="1:6" ht="16.5">
      <c r="A350" s="23"/>
      <c r="B350" s="23"/>
      <c r="C350" s="23"/>
      <c r="D350" s="23"/>
      <c r="E350" s="23"/>
      <c r="F350" s="23"/>
    </row>
    <row r="351" spans="1:6" ht="16.5">
      <c r="A351" s="23"/>
      <c r="B351" s="23"/>
      <c r="C351" s="23"/>
      <c r="D351" s="23"/>
      <c r="E351" s="23"/>
      <c r="F351" s="23"/>
    </row>
    <row r="352" spans="1:6" ht="16.5">
      <c r="A352" s="23"/>
      <c r="B352" s="23"/>
      <c r="C352" s="23"/>
      <c r="D352" s="23"/>
      <c r="E352" s="23"/>
      <c r="F352" s="23"/>
    </row>
    <row r="353" spans="1:6" ht="16.5">
      <c r="A353" s="23"/>
      <c r="B353" s="23"/>
      <c r="C353" s="23"/>
      <c r="D353" s="23"/>
      <c r="E353" s="23"/>
      <c r="F353" s="23"/>
    </row>
    <row r="354" spans="1:6" ht="16.5">
      <c r="A354" s="23"/>
      <c r="B354" s="23"/>
      <c r="C354" s="23"/>
      <c r="D354" s="23"/>
      <c r="E354" s="23"/>
      <c r="F354" s="23"/>
    </row>
    <row r="355" spans="1:6" ht="16.5">
      <c r="A355" s="23"/>
      <c r="B355" s="23"/>
      <c r="C355" s="23"/>
      <c r="D355" s="23"/>
      <c r="E355" s="23"/>
      <c r="F355" s="23"/>
    </row>
    <row r="356" spans="1:6" ht="16.5">
      <c r="A356" s="23"/>
      <c r="B356" s="23"/>
      <c r="C356" s="23"/>
      <c r="D356" s="23"/>
      <c r="E356" s="23"/>
      <c r="F356" s="23"/>
    </row>
    <row r="357" spans="1:6" ht="16.5">
      <c r="A357" s="23"/>
      <c r="B357" s="23"/>
      <c r="C357" s="23"/>
      <c r="D357" s="23"/>
      <c r="E357" s="23"/>
      <c r="F357" s="23"/>
    </row>
    <row r="358" spans="1:6" ht="16.5">
      <c r="A358" s="23"/>
      <c r="B358" s="23"/>
      <c r="C358" s="23"/>
      <c r="D358" s="23"/>
      <c r="E358" s="23"/>
      <c r="F358" s="23"/>
    </row>
    <row r="359" spans="1:6" ht="16.5">
      <c r="A359" s="23"/>
      <c r="B359" s="23"/>
      <c r="C359" s="23"/>
      <c r="D359" s="23"/>
      <c r="E359" s="23"/>
      <c r="F359" s="23"/>
    </row>
    <row r="360" spans="1:6" ht="16.5">
      <c r="A360" s="23"/>
      <c r="B360" s="23"/>
      <c r="C360" s="23"/>
      <c r="D360" s="23"/>
      <c r="E360" s="23"/>
      <c r="F360" s="23"/>
    </row>
    <row r="361" spans="1:6" ht="16.5">
      <c r="A361" s="23"/>
      <c r="B361" s="23"/>
      <c r="C361" s="23"/>
      <c r="D361" s="23"/>
      <c r="E361" s="23"/>
      <c r="F361" s="23"/>
    </row>
    <row r="362" spans="1:6" ht="16.5">
      <c r="A362" s="23"/>
      <c r="B362" s="23"/>
      <c r="C362" s="23"/>
      <c r="D362" s="23"/>
      <c r="E362" s="23"/>
      <c r="F362" s="23"/>
    </row>
    <row r="363" spans="1:6" ht="16.5">
      <c r="A363" s="23"/>
      <c r="B363" s="23"/>
      <c r="C363" s="23"/>
      <c r="D363" s="23"/>
      <c r="E363" s="23"/>
      <c r="F363" s="23"/>
    </row>
    <row r="364" spans="1:6" ht="16.5">
      <c r="A364" s="23"/>
      <c r="B364" s="23"/>
      <c r="C364" s="23"/>
      <c r="D364" s="23"/>
      <c r="E364" s="23"/>
      <c r="F364" s="23"/>
    </row>
    <row r="365" spans="1:6" ht="16.5">
      <c r="A365" s="23"/>
      <c r="B365" s="23"/>
      <c r="C365" s="23"/>
      <c r="D365" s="23"/>
      <c r="E365" s="23"/>
      <c r="F365" s="23"/>
    </row>
    <row r="366" spans="1:6" ht="16.5">
      <c r="A366" s="23"/>
      <c r="B366" s="23"/>
      <c r="C366" s="23"/>
      <c r="D366" s="23"/>
      <c r="E366" s="23"/>
      <c r="F366" s="23"/>
    </row>
    <row r="367" spans="1:6" ht="16.5">
      <c r="A367" s="23"/>
      <c r="B367" s="23"/>
      <c r="C367" s="23"/>
      <c r="D367" s="23"/>
      <c r="E367" s="23"/>
      <c r="F367" s="23"/>
    </row>
    <row r="368" spans="1:6" ht="16.5">
      <c r="A368" s="23"/>
      <c r="B368" s="23"/>
      <c r="C368" s="23"/>
      <c r="D368" s="23"/>
      <c r="E368" s="23"/>
      <c r="F368" s="23"/>
    </row>
    <row r="369" spans="1:6" ht="16.5">
      <c r="A369" s="23"/>
      <c r="B369" s="23"/>
      <c r="C369" s="23"/>
      <c r="D369" s="23"/>
      <c r="E369" s="23"/>
      <c r="F369" s="23"/>
    </row>
    <row r="370" spans="1:6" ht="16.5">
      <c r="A370" s="23"/>
      <c r="B370" s="23"/>
      <c r="C370" s="23"/>
      <c r="D370" s="23"/>
      <c r="E370" s="23"/>
      <c r="F370" s="23"/>
    </row>
    <row r="371" spans="1:6" ht="16.5">
      <c r="A371" s="23"/>
      <c r="B371" s="23"/>
      <c r="C371" s="23"/>
      <c r="D371" s="23"/>
      <c r="E371" s="23"/>
      <c r="F371" s="23"/>
    </row>
    <row r="372" spans="1:6" ht="16.5">
      <c r="A372" s="23"/>
      <c r="B372" s="23"/>
      <c r="C372" s="23"/>
      <c r="D372" s="23"/>
      <c r="E372" s="23"/>
      <c r="F372" s="23"/>
    </row>
    <row r="373" spans="1:6" ht="16.5">
      <c r="A373" s="23"/>
      <c r="B373" s="23"/>
      <c r="C373" s="23"/>
      <c r="D373" s="23"/>
      <c r="E373" s="23"/>
      <c r="F373" s="23"/>
    </row>
    <row r="374" spans="1:6" ht="16.5">
      <c r="A374" s="23"/>
      <c r="B374" s="23"/>
      <c r="C374" s="23"/>
      <c r="D374" s="23"/>
      <c r="E374" s="23"/>
      <c r="F374" s="23"/>
    </row>
    <row r="375" spans="1:6" ht="16.5">
      <c r="A375" s="23"/>
      <c r="B375" s="23"/>
      <c r="C375" s="23"/>
      <c r="D375" s="23"/>
      <c r="E375" s="23"/>
      <c r="F375" s="23"/>
    </row>
    <row r="376" spans="1:6" ht="16.5">
      <c r="A376" s="23"/>
      <c r="B376" s="23"/>
      <c r="C376" s="23"/>
      <c r="D376" s="23"/>
      <c r="E376" s="23"/>
      <c r="F376" s="23"/>
    </row>
    <row r="377" spans="1:6" ht="16.5">
      <c r="A377" s="23"/>
      <c r="B377" s="23"/>
      <c r="C377" s="23"/>
      <c r="D377" s="23"/>
      <c r="E377" s="23"/>
      <c r="F377" s="23"/>
    </row>
    <row r="378" spans="1:6" ht="16.5">
      <c r="A378" s="23"/>
      <c r="B378" s="23"/>
      <c r="C378" s="23"/>
      <c r="D378" s="23"/>
      <c r="E378" s="23"/>
      <c r="F378" s="23"/>
    </row>
    <row r="379" spans="1:6" ht="16.5">
      <c r="A379" s="23"/>
      <c r="B379" s="23"/>
      <c r="C379" s="23"/>
      <c r="D379" s="23"/>
      <c r="E379" s="23"/>
      <c r="F379" s="23"/>
    </row>
    <row r="380" spans="1:6" ht="16.5">
      <c r="A380" s="23"/>
      <c r="B380" s="23"/>
      <c r="C380" s="23"/>
      <c r="D380" s="23"/>
      <c r="E380" s="23"/>
      <c r="F380" s="23"/>
    </row>
    <row r="381" spans="1:6" ht="16.5">
      <c r="A381" s="23"/>
      <c r="B381" s="23"/>
      <c r="C381" s="23"/>
      <c r="D381" s="23"/>
      <c r="E381" s="23"/>
      <c r="F381" s="23"/>
    </row>
    <row r="382" spans="1:6" ht="16.5">
      <c r="A382" s="23"/>
      <c r="B382" s="23"/>
      <c r="C382" s="23"/>
      <c r="D382" s="23"/>
      <c r="E382" s="23"/>
      <c r="F382" s="23"/>
    </row>
    <row r="383" spans="1:6" ht="16.5">
      <c r="A383" s="23"/>
      <c r="B383" s="23"/>
      <c r="C383" s="23"/>
      <c r="D383" s="23"/>
      <c r="E383" s="23"/>
      <c r="F383" s="23"/>
    </row>
    <row r="384" spans="1:6" ht="16.5">
      <c r="A384" s="23"/>
      <c r="B384" s="23"/>
      <c r="C384" s="23"/>
      <c r="D384" s="23"/>
      <c r="E384" s="23"/>
      <c r="F384" s="23"/>
    </row>
    <row r="385" spans="1:6" ht="16.5">
      <c r="A385" s="23"/>
      <c r="B385" s="23"/>
      <c r="C385" s="23"/>
      <c r="D385" s="23"/>
      <c r="E385" s="23"/>
      <c r="F385" s="23"/>
    </row>
    <row r="386" spans="1:6" ht="16.5">
      <c r="A386" s="23"/>
      <c r="B386" s="23"/>
      <c r="C386" s="23"/>
      <c r="D386" s="23"/>
      <c r="E386" s="23"/>
      <c r="F386" s="23"/>
    </row>
    <row r="387" spans="1:6" ht="16.5">
      <c r="A387" s="23"/>
      <c r="B387" s="23"/>
      <c r="C387" s="23"/>
      <c r="D387" s="23"/>
      <c r="E387" s="23"/>
      <c r="F387" s="23"/>
    </row>
    <row r="388" spans="1:6" ht="16.5">
      <c r="A388" s="23"/>
      <c r="B388" s="23"/>
      <c r="C388" s="23"/>
      <c r="D388" s="23"/>
      <c r="E388" s="23"/>
      <c r="F388" s="23"/>
    </row>
    <row r="389" spans="1:6" ht="16.5">
      <c r="A389" s="23"/>
      <c r="B389" s="23"/>
      <c r="C389" s="23"/>
      <c r="D389" s="23"/>
      <c r="E389" s="23"/>
      <c r="F389" s="23"/>
    </row>
    <row r="390" spans="1:6" ht="16.5">
      <c r="A390" s="23"/>
      <c r="B390" s="23"/>
      <c r="C390" s="23"/>
      <c r="D390" s="23"/>
      <c r="E390" s="23"/>
      <c r="F390" s="23"/>
    </row>
    <row r="391" spans="1:6" ht="16.5">
      <c r="A391" s="23"/>
      <c r="B391" s="23"/>
      <c r="C391" s="23"/>
      <c r="D391" s="23"/>
      <c r="E391" s="23"/>
      <c r="F391" s="23"/>
    </row>
    <row r="392" spans="1:6" ht="16.5">
      <c r="A392" s="23"/>
      <c r="B392" s="23"/>
      <c r="C392" s="23"/>
      <c r="D392" s="23"/>
      <c r="E392" s="23"/>
      <c r="F392" s="23"/>
    </row>
    <row r="393" spans="1:6" ht="16.5">
      <c r="A393" s="23"/>
      <c r="B393" s="23"/>
      <c r="C393" s="23"/>
      <c r="D393" s="23"/>
      <c r="E393" s="23"/>
      <c r="F393" s="23"/>
    </row>
    <row r="394" spans="1:6" ht="16.5">
      <c r="A394" s="23"/>
      <c r="B394" s="23"/>
      <c r="C394" s="23"/>
      <c r="D394" s="23"/>
      <c r="E394" s="23"/>
      <c r="F394" s="23"/>
    </row>
    <row r="395" spans="1:6" ht="16.5">
      <c r="A395" s="23"/>
      <c r="B395" s="23"/>
      <c r="C395" s="23"/>
      <c r="D395" s="23"/>
      <c r="E395" s="23"/>
      <c r="F395" s="23"/>
    </row>
    <row r="396" spans="1:6" ht="16.5">
      <c r="A396" s="23"/>
      <c r="B396" s="23"/>
      <c r="C396" s="23"/>
      <c r="D396" s="23"/>
      <c r="E396" s="23"/>
      <c r="F396" s="23"/>
    </row>
    <row r="397" spans="1:6" ht="16.5">
      <c r="A397" s="23"/>
      <c r="B397" s="23"/>
      <c r="C397" s="23"/>
      <c r="D397" s="23"/>
      <c r="E397" s="23"/>
      <c r="F397" s="23"/>
    </row>
    <row r="398" spans="1:6" ht="16.5">
      <c r="A398" s="23"/>
      <c r="B398" s="23"/>
      <c r="C398" s="23"/>
      <c r="D398" s="23"/>
      <c r="E398" s="23"/>
      <c r="F398" s="23"/>
    </row>
    <row r="399" spans="1:6" ht="16.5">
      <c r="A399" s="23"/>
      <c r="B399" s="23"/>
      <c r="C399" s="23"/>
      <c r="D399" s="23"/>
      <c r="E399" s="23"/>
      <c r="F399" s="23"/>
    </row>
    <row r="400" spans="1:6" ht="16.5">
      <c r="A400" s="23"/>
      <c r="B400" s="23"/>
      <c r="C400" s="23"/>
      <c r="D400" s="23"/>
      <c r="E400" s="23"/>
      <c r="F400" s="23"/>
    </row>
    <row r="401" spans="1:6" ht="16.5">
      <c r="A401" s="23"/>
      <c r="B401" s="23"/>
      <c r="C401" s="23"/>
      <c r="D401" s="23"/>
      <c r="E401" s="23"/>
      <c r="F401" s="23"/>
    </row>
    <row r="402" spans="1:6" ht="16.5">
      <c r="A402" s="23"/>
      <c r="B402" s="23"/>
      <c r="C402" s="23"/>
      <c r="D402" s="23"/>
      <c r="E402" s="23"/>
      <c r="F402" s="23"/>
    </row>
    <row r="403" spans="1:6" ht="16.5">
      <c r="A403" s="23"/>
      <c r="B403" s="23"/>
      <c r="C403" s="23"/>
      <c r="D403" s="23"/>
      <c r="E403" s="23"/>
      <c r="F403" s="23"/>
    </row>
    <row r="404" spans="1:6" ht="16.5">
      <c r="A404" s="23"/>
      <c r="B404" s="23"/>
      <c r="C404" s="23"/>
      <c r="D404" s="23"/>
      <c r="E404" s="23"/>
      <c r="F404" s="23"/>
    </row>
    <row r="405" spans="1:6" ht="16.5">
      <c r="A405" s="23"/>
      <c r="B405" s="23"/>
      <c r="C405" s="23"/>
      <c r="D405" s="23"/>
      <c r="E405" s="23"/>
      <c r="F405" s="23"/>
    </row>
    <row r="406" spans="1:6" ht="16.5">
      <c r="A406" s="23"/>
      <c r="B406" s="23"/>
      <c r="C406" s="23"/>
      <c r="D406" s="23"/>
      <c r="E406" s="23"/>
      <c r="F406" s="23"/>
    </row>
    <row r="407" spans="1:6" ht="16.5">
      <c r="A407" s="23"/>
      <c r="B407" s="23"/>
      <c r="C407" s="23"/>
      <c r="D407" s="23"/>
      <c r="E407" s="23"/>
      <c r="F407" s="23"/>
    </row>
    <row r="408" spans="1:6" ht="16.5">
      <c r="A408" s="23"/>
      <c r="B408" s="23"/>
      <c r="C408" s="23"/>
      <c r="D408" s="23"/>
      <c r="E408" s="23"/>
      <c r="F408" s="23"/>
    </row>
    <row r="409" spans="1:6" ht="16.5">
      <c r="A409" s="23"/>
      <c r="B409" s="23"/>
      <c r="C409" s="23"/>
      <c r="D409" s="23"/>
      <c r="E409" s="23"/>
      <c r="F409" s="23"/>
    </row>
    <row r="410" spans="1:6" ht="16.5">
      <c r="A410" s="23"/>
      <c r="B410" s="23"/>
      <c r="C410" s="23"/>
      <c r="D410" s="23"/>
      <c r="E410" s="23"/>
      <c r="F410" s="23"/>
    </row>
    <row r="411" spans="1:6" ht="16.5">
      <c r="A411" s="23"/>
      <c r="B411" s="23"/>
      <c r="C411" s="23"/>
      <c r="D411" s="23"/>
      <c r="E411" s="23"/>
      <c r="F411" s="23"/>
    </row>
    <row r="412" spans="1:6" ht="16.5">
      <c r="A412" s="23"/>
      <c r="B412" s="23"/>
      <c r="C412" s="23"/>
      <c r="D412" s="23"/>
      <c r="E412" s="23"/>
      <c r="F412" s="23"/>
    </row>
    <row r="413" spans="1:6" ht="16.5">
      <c r="A413" s="23"/>
      <c r="B413" s="23"/>
      <c r="C413" s="23"/>
      <c r="D413" s="23"/>
      <c r="E413" s="23"/>
      <c r="F413" s="23"/>
    </row>
    <row r="414" spans="1:6" ht="16.5">
      <c r="A414" s="23"/>
      <c r="B414" s="23"/>
      <c r="C414" s="23"/>
      <c r="D414" s="23"/>
      <c r="E414" s="23"/>
      <c r="F414" s="23"/>
    </row>
    <row r="415" spans="1:6" ht="16.5">
      <c r="A415" s="23"/>
      <c r="B415" s="23"/>
      <c r="C415" s="23"/>
      <c r="D415" s="23"/>
      <c r="E415" s="23"/>
      <c r="F415" s="23"/>
    </row>
    <row r="416" spans="1:6" ht="16.5">
      <c r="A416" s="23"/>
      <c r="B416" s="23"/>
      <c r="C416" s="23"/>
      <c r="D416" s="23"/>
      <c r="E416" s="23"/>
      <c r="F416" s="23"/>
    </row>
    <row r="417" spans="1:6" ht="16.5">
      <c r="A417" s="23"/>
      <c r="B417" s="23"/>
      <c r="C417" s="23"/>
      <c r="D417" s="23"/>
      <c r="E417" s="23"/>
      <c r="F417" s="23"/>
    </row>
    <row r="418" spans="1:6" ht="16.5">
      <c r="A418" s="23"/>
      <c r="B418" s="23"/>
      <c r="C418" s="23"/>
      <c r="D418" s="23"/>
      <c r="E418" s="23"/>
      <c r="F418" s="23"/>
    </row>
    <row r="419" spans="1:6" ht="16.5">
      <c r="A419" s="23"/>
      <c r="B419" s="23"/>
      <c r="C419" s="23"/>
      <c r="D419" s="23"/>
      <c r="E419" s="23"/>
      <c r="F419" s="23"/>
    </row>
    <row r="420" spans="1:6" ht="16.5">
      <c r="A420" s="23"/>
      <c r="B420" s="23"/>
      <c r="C420" s="23"/>
      <c r="D420" s="23"/>
      <c r="E420" s="23"/>
      <c r="F420" s="23"/>
    </row>
    <row r="421" spans="1:6" ht="16.5">
      <c r="A421" s="23"/>
      <c r="B421" s="23"/>
      <c r="C421" s="23"/>
      <c r="D421" s="23"/>
      <c r="E421" s="23"/>
      <c r="F421" s="23"/>
    </row>
    <row r="422" spans="1:6" ht="16.5">
      <c r="A422" s="23"/>
      <c r="B422" s="23"/>
      <c r="C422" s="23"/>
      <c r="D422" s="23"/>
      <c r="E422" s="23"/>
      <c r="F422" s="23"/>
    </row>
    <row r="423" spans="1:6" ht="16.5">
      <c r="A423" s="23"/>
      <c r="B423" s="23"/>
      <c r="C423" s="23"/>
      <c r="D423" s="23"/>
      <c r="E423" s="23"/>
      <c r="F423" s="23"/>
    </row>
    <row r="424" spans="1:6" ht="16.5">
      <c r="A424" s="23"/>
      <c r="B424" s="23"/>
      <c r="C424" s="23"/>
      <c r="D424" s="23"/>
      <c r="E424" s="23"/>
      <c r="F424" s="23"/>
    </row>
    <row r="425" spans="1:6" ht="16.5">
      <c r="A425" s="23"/>
      <c r="B425" s="23"/>
      <c r="C425" s="23"/>
      <c r="D425" s="23"/>
      <c r="E425" s="23"/>
      <c r="F425" s="23"/>
    </row>
    <row r="426" spans="1:6" ht="16.5">
      <c r="A426" s="23"/>
      <c r="B426" s="23"/>
      <c r="C426" s="23"/>
      <c r="D426" s="23"/>
      <c r="E426" s="23"/>
      <c r="F426" s="23"/>
    </row>
    <row r="427" spans="1:6" ht="16.5">
      <c r="A427" s="23"/>
      <c r="B427" s="23"/>
      <c r="C427" s="23"/>
      <c r="D427" s="23"/>
      <c r="E427" s="23"/>
      <c r="F427" s="23"/>
    </row>
    <row r="428" spans="1:6" ht="16.5">
      <c r="A428" s="23"/>
      <c r="B428" s="23"/>
      <c r="C428" s="23"/>
      <c r="D428" s="23"/>
      <c r="E428" s="23"/>
      <c r="F428" s="23"/>
    </row>
    <row r="429" spans="1:6" ht="16.5">
      <c r="A429" s="23"/>
      <c r="B429" s="23"/>
      <c r="C429" s="23"/>
      <c r="D429" s="23"/>
      <c r="E429" s="23"/>
      <c r="F429" s="23"/>
    </row>
    <row r="430" spans="1:6" ht="16.5">
      <c r="A430" s="23"/>
      <c r="B430" s="23"/>
      <c r="C430" s="23"/>
      <c r="D430" s="23"/>
      <c r="E430" s="23"/>
      <c r="F430" s="23"/>
    </row>
    <row r="431" spans="1:6" ht="16.5">
      <c r="A431" s="23"/>
      <c r="B431" s="23"/>
      <c r="C431" s="23"/>
      <c r="D431" s="23"/>
      <c r="E431" s="23"/>
      <c r="F431" s="23"/>
    </row>
    <row r="432" spans="1:6" ht="16.5">
      <c r="A432" s="23"/>
      <c r="B432" s="23"/>
      <c r="C432" s="23"/>
      <c r="D432" s="23"/>
      <c r="E432" s="23"/>
      <c r="F432" s="23"/>
    </row>
    <row r="433" spans="1:6" ht="16.5">
      <c r="A433" s="23"/>
      <c r="B433" s="23"/>
      <c r="C433" s="23"/>
      <c r="D433" s="23"/>
      <c r="E433" s="23"/>
      <c r="F433" s="23"/>
    </row>
    <row r="434" spans="1:6" ht="16.5">
      <c r="A434" s="23"/>
      <c r="B434" s="23"/>
      <c r="C434" s="23"/>
      <c r="D434" s="23"/>
      <c r="E434" s="23"/>
      <c r="F434" s="23"/>
    </row>
    <row r="435" spans="1:6" ht="16.5">
      <c r="A435" s="23"/>
      <c r="B435" s="23"/>
      <c r="C435" s="23"/>
      <c r="D435" s="23"/>
      <c r="E435" s="23"/>
      <c r="F435" s="23"/>
    </row>
    <row r="436" spans="1:6" ht="16.5">
      <c r="A436" s="23"/>
      <c r="B436" s="23"/>
      <c r="C436" s="23"/>
      <c r="D436" s="23"/>
      <c r="E436" s="23"/>
      <c r="F436" s="23"/>
    </row>
    <row r="437" spans="1:6" ht="16.5">
      <c r="A437" s="23"/>
      <c r="B437" s="23"/>
      <c r="C437" s="23"/>
      <c r="D437" s="23"/>
      <c r="E437" s="23"/>
      <c r="F437" s="23"/>
    </row>
    <row r="438" spans="1:6" ht="16.5">
      <c r="A438" s="23"/>
      <c r="B438" s="23"/>
      <c r="C438" s="23"/>
      <c r="D438" s="23"/>
      <c r="E438" s="23"/>
      <c r="F438" s="23"/>
    </row>
    <row r="439" spans="1:6" ht="16.5">
      <c r="A439" s="23"/>
      <c r="B439" s="23"/>
      <c r="C439" s="23"/>
      <c r="D439" s="23"/>
      <c r="E439" s="23"/>
      <c r="F439" s="23"/>
    </row>
    <row r="440" spans="1:6" ht="16.5">
      <c r="A440" s="23"/>
      <c r="B440" s="23"/>
      <c r="C440" s="23"/>
      <c r="D440" s="23"/>
      <c r="E440" s="23"/>
      <c r="F440" s="23"/>
    </row>
    <row r="441" spans="1:6" ht="16.5">
      <c r="A441" s="23"/>
      <c r="B441" s="23"/>
      <c r="C441" s="23"/>
      <c r="D441" s="23"/>
      <c r="E441" s="23"/>
      <c r="F441" s="23"/>
    </row>
    <row r="442" spans="1:6" ht="16.5">
      <c r="A442" s="23"/>
      <c r="B442" s="23"/>
      <c r="C442" s="23"/>
      <c r="D442" s="23"/>
      <c r="E442" s="23"/>
      <c r="F442" s="23"/>
    </row>
    <row r="443" spans="1:6" ht="16.5">
      <c r="A443" s="23"/>
      <c r="B443" s="23"/>
      <c r="C443" s="23"/>
      <c r="D443" s="23"/>
      <c r="E443" s="23"/>
      <c r="F443" s="23"/>
    </row>
    <row r="444" spans="1:6" ht="16.5">
      <c r="A444" s="23"/>
      <c r="B444" s="23"/>
      <c r="C444" s="23"/>
      <c r="D444" s="23"/>
      <c r="E444" s="23"/>
      <c r="F444" s="23"/>
    </row>
    <row r="445" spans="1:6" ht="16.5">
      <c r="A445" s="23"/>
      <c r="B445" s="23"/>
      <c r="C445" s="23"/>
      <c r="D445" s="23"/>
      <c r="E445" s="23"/>
      <c r="F445" s="23"/>
    </row>
    <row r="446" spans="1:6" ht="16.5">
      <c r="A446" s="23"/>
      <c r="B446" s="23"/>
      <c r="C446" s="23"/>
      <c r="D446" s="23"/>
      <c r="E446" s="23"/>
      <c r="F446" s="23"/>
    </row>
    <row r="447" spans="1:6" ht="16.5">
      <c r="A447" s="23"/>
      <c r="B447" s="23"/>
      <c r="C447" s="23"/>
      <c r="D447" s="23"/>
      <c r="E447" s="23"/>
      <c r="F447" s="23"/>
    </row>
    <row r="448" spans="1:6" ht="16.5">
      <c r="A448" s="23"/>
      <c r="B448" s="23"/>
      <c r="C448" s="23"/>
      <c r="D448" s="23"/>
      <c r="E448" s="23"/>
      <c r="F448" s="23"/>
    </row>
    <row r="449" spans="1:6" ht="16.5">
      <c r="A449" s="23"/>
      <c r="B449" s="23"/>
      <c r="C449" s="23"/>
      <c r="D449" s="23"/>
      <c r="E449" s="23"/>
      <c r="F449" s="23"/>
    </row>
    <row r="450" spans="1:6" ht="16.5">
      <c r="A450" s="23"/>
      <c r="B450" s="23"/>
      <c r="C450" s="23"/>
      <c r="D450" s="23"/>
      <c r="E450" s="23"/>
      <c r="F450" s="23"/>
    </row>
    <row r="451" spans="1:6" ht="16.5">
      <c r="A451" s="23"/>
      <c r="B451" s="23"/>
      <c r="C451" s="23"/>
      <c r="D451" s="23"/>
      <c r="E451" s="23"/>
      <c r="F451" s="23"/>
    </row>
    <row r="452" spans="1:6" ht="16.5">
      <c r="A452" s="23"/>
      <c r="B452" s="23"/>
      <c r="C452" s="23"/>
      <c r="D452" s="23"/>
      <c r="E452" s="23"/>
      <c r="F452" s="23"/>
    </row>
    <row r="453" spans="1:6" ht="16.5">
      <c r="A453" s="23"/>
      <c r="B453" s="23"/>
      <c r="C453" s="23"/>
      <c r="D453" s="23"/>
      <c r="E453" s="23"/>
      <c r="F453" s="23"/>
    </row>
    <row r="454" spans="1:6" ht="16.5">
      <c r="A454" s="23"/>
      <c r="B454" s="23"/>
      <c r="C454" s="23"/>
      <c r="D454" s="23"/>
      <c r="E454" s="23"/>
      <c r="F454" s="23"/>
    </row>
    <row r="455" spans="1:6" ht="16.5">
      <c r="A455" s="23"/>
      <c r="B455" s="23"/>
      <c r="C455" s="23"/>
      <c r="D455" s="23"/>
      <c r="E455" s="23"/>
      <c r="F455" s="23"/>
    </row>
    <row r="456" spans="1:6" ht="16.5">
      <c r="A456" s="23"/>
      <c r="B456" s="23"/>
      <c r="C456" s="23"/>
      <c r="D456" s="23"/>
      <c r="E456" s="23"/>
      <c r="F456" s="23"/>
    </row>
    <row r="457" spans="1:6" ht="16.5">
      <c r="A457" s="23"/>
      <c r="B457" s="23"/>
      <c r="C457" s="23"/>
      <c r="D457" s="23"/>
      <c r="E457" s="23"/>
      <c r="F457" s="23"/>
    </row>
    <row r="458" spans="1:6" ht="16.5">
      <c r="A458" s="23"/>
      <c r="B458" s="23"/>
      <c r="C458" s="23"/>
      <c r="D458" s="23"/>
      <c r="E458" s="23"/>
      <c r="F458" s="23"/>
    </row>
    <row r="459" spans="1:6" ht="16.5">
      <c r="A459" s="23"/>
      <c r="B459" s="23"/>
      <c r="C459" s="23"/>
      <c r="D459" s="23"/>
      <c r="E459" s="23"/>
      <c r="F459" s="23"/>
    </row>
    <row r="460" spans="1:6" ht="16.5">
      <c r="A460" s="23"/>
      <c r="B460" s="23"/>
      <c r="C460" s="23"/>
      <c r="D460" s="23"/>
      <c r="E460" s="23"/>
      <c r="F460" s="23"/>
    </row>
    <row r="461" spans="1:6" ht="16.5">
      <c r="A461" s="23"/>
      <c r="B461" s="23"/>
      <c r="C461" s="23"/>
      <c r="D461" s="23"/>
      <c r="E461" s="23"/>
      <c r="F461" s="23"/>
    </row>
    <row r="462" spans="1:6" ht="16.5">
      <c r="A462" s="23"/>
      <c r="B462" s="23"/>
      <c r="C462" s="23"/>
      <c r="D462" s="23"/>
      <c r="E462" s="23"/>
      <c r="F462" s="23"/>
    </row>
    <row r="463" spans="1:6" ht="16.5">
      <c r="A463" s="23"/>
      <c r="B463" s="23"/>
      <c r="C463" s="23"/>
      <c r="D463" s="23"/>
      <c r="E463" s="23"/>
      <c r="F463" s="23"/>
    </row>
    <row r="464" spans="1:6" ht="16.5">
      <c r="A464" s="23"/>
      <c r="B464" s="23"/>
      <c r="C464" s="23"/>
      <c r="D464" s="23"/>
      <c r="E464" s="23"/>
      <c r="F464" s="23"/>
    </row>
    <row r="465" spans="1:6" ht="16.5">
      <c r="A465" s="23"/>
      <c r="B465" s="23"/>
      <c r="C465" s="23"/>
      <c r="D465" s="23"/>
      <c r="E465" s="23"/>
      <c r="F465" s="23"/>
    </row>
    <row r="466" spans="1:6" ht="16.5">
      <c r="A466" s="23"/>
      <c r="B466" s="23"/>
      <c r="C466" s="23"/>
      <c r="D466" s="23"/>
      <c r="E466" s="23"/>
      <c r="F466" s="23"/>
    </row>
    <row r="467" spans="1:6" ht="16.5">
      <c r="A467" s="23"/>
      <c r="B467" s="23"/>
      <c r="C467" s="23"/>
      <c r="D467" s="23"/>
      <c r="E467" s="23"/>
      <c r="F467" s="23"/>
    </row>
    <row r="468" spans="1:6" ht="16.5">
      <c r="A468" s="23"/>
      <c r="B468" s="23"/>
      <c r="C468" s="23"/>
      <c r="D468" s="23"/>
      <c r="E468" s="23"/>
      <c r="F468" s="23"/>
    </row>
    <row r="469" spans="1:6" ht="16.5">
      <c r="A469" s="23"/>
      <c r="B469" s="23"/>
      <c r="C469" s="23"/>
      <c r="D469" s="23"/>
      <c r="E469" s="23"/>
      <c r="F469" s="23"/>
    </row>
    <row r="470" spans="1:6" ht="16.5">
      <c r="A470" s="23"/>
      <c r="B470" s="23"/>
      <c r="C470" s="23"/>
      <c r="D470" s="23"/>
      <c r="E470" s="23"/>
      <c r="F470" s="23"/>
    </row>
    <row r="471" spans="1:6" ht="16.5">
      <c r="A471" s="23"/>
      <c r="B471" s="23"/>
      <c r="C471" s="23"/>
      <c r="D471" s="23"/>
      <c r="E471" s="23"/>
      <c r="F471" s="23"/>
    </row>
    <row r="472" spans="1:6" ht="16.5">
      <c r="A472" s="23"/>
      <c r="B472" s="23"/>
      <c r="C472" s="23"/>
      <c r="D472" s="23"/>
      <c r="E472" s="23"/>
      <c r="F472" s="23"/>
    </row>
    <row r="473" spans="1:6" ht="16.5">
      <c r="A473" s="23"/>
      <c r="B473" s="23"/>
      <c r="C473" s="23"/>
      <c r="D473" s="23"/>
      <c r="E473" s="23"/>
      <c r="F473" s="23"/>
    </row>
    <row r="474" spans="1:6" ht="16.5">
      <c r="A474" s="23"/>
      <c r="B474" s="23"/>
      <c r="C474" s="23"/>
      <c r="D474" s="23"/>
      <c r="E474" s="23"/>
      <c r="F474" s="23"/>
    </row>
    <row r="475" spans="1:6" ht="16.5">
      <c r="A475" s="23"/>
      <c r="B475" s="23"/>
      <c r="C475" s="23"/>
      <c r="D475" s="23"/>
      <c r="E475" s="23"/>
      <c r="F475" s="23"/>
    </row>
    <row r="476" spans="1:6" ht="16.5">
      <c r="A476" s="23"/>
      <c r="B476" s="23"/>
      <c r="C476" s="23"/>
      <c r="D476" s="23"/>
      <c r="E476" s="23"/>
      <c r="F476" s="23"/>
    </row>
    <row r="477" spans="1:6" ht="16.5">
      <c r="A477" s="23"/>
      <c r="B477" s="23"/>
      <c r="C477" s="23"/>
      <c r="D477" s="23"/>
      <c r="E477" s="23"/>
      <c r="F477" s="23"/>
    </row>
    <row r="478" spans="1:6" ht="16.5">
      <c r="A478" s="23"/>
      <c r="B478" s="23"/>
      <c r="C478" s="23"/>
      <c r="D478" s="23"/>
      <c r="E478" s="23"/>
      <c r="F478" s="23"/>
    </row>
    <row r="479" spans="1:6" ht="16.5">
      <c r="A479" s="23"/>
      <c r="B479" s="23"/>
      <c r="C479" s="23"/>
      <c r="D479" s="23"/>
      <c r="E479" s="23"/>
      <c r="F479" s="23"/>
    </row>
    <row r="480" spans="1:6" ht="16.5">
      <c r="A480" s="23"/>
      <c r="B480" s="23"/>
      <c r="C480" s="23"/>
      <c r="D480" s="23"/>
      <c r="E480" s="23"/>
      <c r="F480" s="23"/>
    </row>
    <row r="481" spans="1:6" ht="16.5">
      <c r="A481" s="23"/>
      <c r="B481" s="23"/>
      <c r="C481" s="23"/>
      <c r="D481" s="23"/>
      <c r="E481" s="23"/>
      <c r="F481" s="23"/>
    </row>
    <row r="482" spans="1:6" ht="16.5">
      <c r="A482" s="23"/>
      <c r="B482" s="23"/>
      <c r="C482" s="23"/>
      <c r="D482" s="23"/>
      <c r="E482" s="23"/>
      <c r="F482" s="23"/>
    </row>
    <row r="483" spans="1:6" ht="16.5">
      <c r="A483" s="23"/>
      <c r="B483" s="23"/>
      <c r="C483" s="23"/>
      <c r="D483" s="23"/>
      <c r="E483" s="23"/>
      <c r="F483" s="23"/>
    </row>
    <row r="484" spans="1:6" ht="16.5">
      <c r="A484" s="23"/>
      <c r="B484" s="23"/>
      <c r="C484" s="23"/>
      <c r="D484" s="23"/>
      <c r="E484" s="23"/>
      <c r="F484" s="23"/>
    </row>
    <row r="485" spans="1:6" ht="16.5">
      <c r="A485" s="23"/>
      <c r="B485" s="23"/>
      <c r="C485" s="23"/>
      <c r="D485" s="23"/>
      <c r="E485" s="23"/>
      <c r="F485" s="23"/>
    </row>
    <row r="486" spans="1:6" ht="16.5">
      <c r="A486" s="23"/>
      <c r="B486" s="23"/>
      <c r="C486" s="23"/>
      <c r="D486" s="23"/>
      <c r="E486" s="23"/>
      <c r="F486" s="23"/>
    </row>
    <row r="487" spans="1:6" ht="16.5">
      <c r="A487" s="23"/>
      <c r="B487" s="23"/>
      <c r="C487" s="23"/>
      <c r="D487" s="23"/>
      <c r="E487" s="23"/>
      <c r="F487" s="23"/>
    </row>
    <row r="488" spans="1:6" ht="16.5">
      <c r="A488" s="23"/>
      <c r="B488" s="23"/>
      <c r="C488" s="23"/>
      <c r="D488" s="23"/>
      <c r="E488" s="23"/>
      <c r="F488" s="23"/>
    </row>
    <row r="489" spans="1:6" ht="16.5">
      <c r="A489" s="23"/>
      <c r="B489" s="23"/>
      <c r="C489" s="23"/>
      <c r="D489" s="23"/>
      <c r="E489" s="23"/>
      <c r="F489" s="23"/>
    </row>
    <row r="490" spans="1:6" ht="16.5">
      <c r="A490" s="23"/>
      <c r="B490" s="23"/>
      <c r="C490" s="23"/>
      <c r="D490" s="23"/>
      <c r="E490" s="23"/>
      <c r="F490" s="23"/>
    </row>
    <row r="491" spans="1:6" ht="16.5">
      <c r="A491" s="23"/>
      <c r="B491" s="23"/>
      <c r="C491" s="23"/>
      <c r="D491" s="23"/>
      <c r="E491" s="23"/>
      <c r="F491" s="23"/>
    </row>
    <row r="492" spans="1:6" ht="16.5">
      <c r="A492" s="23"/>
      <c r="B492" s="23"/>
      <c r="C492" s="23"/>
      <c r="D492" s="23"/>
      <c r="E492" s="23"/>
      <c r="F492" s="23"/>
    </row>
    <row r="493" spans="1:6" ht="16.5">
      <c r="A493" s="23"/>
      <c r="B493" s="23"/>
      <c r="C493" s="23"/>
      <c r="D493" s="23"/>
      <c r="E493" s="23"/>
      <c r="F493" s="23"/>
    </row>
    <row r="494" spans="1:6" ht="16.5">
      <c r="A494" s="23"/>
      <c r="B494" s="23"/>
      <c r="C494" s="23"/>
      <c r="D494" s="23"/>
      <c r="E494" s="23"/>
      <c r="F494" s="23"/>
    </row>
    <row r="495" spans="1:6" ht="16.5">
      <c r="A495" s="23"/>
      <c r="B495" s="23"/>
      <c r="C495" s="23"/>
      <c r="D495" s="23"/>
      <c r="E495" s="23"/>
      <c r="F495" s="23"/>
    </row>
    <row r="496" spans="1:6" ht="16.5">
      <c r="A496" s="23"/>
      <c r="B496" s="23"/>
      <c r="C496" s="23"/>
      <c r="D496" s="23"/>
      <c r="E496" s="23"/>
      <c r="F496" s="23"/>
    </row>
    <row r="497" spans="1:6" ht="16.5">
      <c r="A497" s="23"/>
      <c r="B497" s="23"/>
      <c r="C497" s="23"/>
      <c r="D497" s="23"/>
      <c r="E497" s="23"/>
      <c r="F497" s="23"/>
    </row>
    <row r="498" spans="1:6" ht="16.5">
      <c r="A498" s="23"/>
      <c r="B498" s="23"/>
      <c r="C498" s="23"/>
      <c r="D498" s="23"/>
      <c r="E498" s="23"/>
      <c r="F498" s="23"/>
    </row>
    <row r="499" spans="1:6" ht="16.5">
      <c r="A499" s="23"/>
      <c r="B499" s="23"/>
      <c r="C499" s="23"/>
      <c r="D499" s="23"/>
      <c r="E499" s="23"/>
      <c r="F499" s="23"/>
    </row>
    <row r="500" spans="1:6" ht="16.5">
      <c r="A500" s="23"/>
      <c r="B500" s="23"/>
      <c r="C500" s="23"/>
      <c r="D500" s="23"/>
      <c r="E500" s="23"/>
      <c r="F500" s="23"/>
    </row>
    <row r="501" spans="1:6" ht="16.5">
      <c r="A501" s="23"/>
      <c r="B501" s="23"/>
      <c r="C501" s="23"/>
      <c r="D501" s="23"/>
      <c r="E501" s="23"/>
      <c r="F501" s="23"/>
    </row>
    <row r="502" spans="1:6" ht="16.5">
      <c r="A502" s="23"/>
      <c r="B502" s="23"/>
      <c r="C502" s="23"/>
      <c r="D502" s="23"/>
      <c r="E502" s="23"/>
      <c r="F502" s="23"/>
    </row>
    <row r="503" spans="1:6" ht="16.5">
      <c r="A503" s="23"/>
      <c r="B503" s="23"/>
      <c r="C503" s="23"/>
      <c r="D503" s="23"/>
      <c r="E503" s="23"/>
      <c r="F503" s="23"/>
    </row>
    <row r="504" spans="1:6" ht="16.5">
      <c r="A504" s="23"/>
      <c r="B504" s="23"/>
      <c r="C504" s="23"/>
      <c r="D504" s="23"/>
      <c r="E504" s="23"/>
      <c r="F504" s="23"/>
    </row>
    <row r="505" spans="1:6" ht="16.5">
      <c r="A505" s="23"/>
      <c r="B505" s="23"/>
      <c r="C505" s="23"/>
      <c r="D505" s="23"/>
      <c r="E505" s="23"/>
      <c r="F505" s="23"/>
    </row>
    <row r="506" spans="1:6" ht="16.5">
      <c r="A506" s="23"/>
      <c r="B506" s="23"/>
      <c r="C506" s="23"/>
      <c r="D506" s="23"/>
      <c r="E506" s="23"/>
      <c r="F506" s="23"/>
    </row>
    <row r="507" spans="1:6" ht="16.5">
      <c r="A507" s="23"/>
      <c r="B507" s="23"/>
      <c r="C507" s="23"/>
      <c r="D507" s="23"/>
      <c r="E507" s="23"/>
      <c r="F507" s="23"/>
    </row>
    <row r="508" spans="1:6" ht="16.5">
      <c r="A508" s="23"/>
      <c r="B508" s="23"/>
      <c r="C508" s="23"/>
      <c r="D508" s="23"/>
      <c r="E508" s="23"/>
      <c r="F508" s="23"/>
    </row>
    <row r="509" spans="1:6" ht="16.5">
      <c r="A509" s="23"/>
      <c r="B509" s="23"/>
      <c r="C509" s="23"/>
      <c r="D509" s="23"/>
      <c r="E509" s="23"/>
      <c r="F509" s="23"/>
    </row>
    <row r="510" spans="1:6" ht="16.5">
      <c r="A510" s="23"/>
      <c r="B510" s="23"/>
      <c r="C510" s="23"/>
      <c r="D510" s="23"/>
      <c r="E510" s="23"/>
      <c r="F510" s="23"/>
    </row>
    <row r="511" spans="1:6" ht="16.5">
      <c r="A511" s="23"/>
      <c r="B511" s="23"/>
      <c r="C511" s="23"/>
      <c r="D511" s="23"/>
      <c r="E511" s="23"/>
      <c r="F511" s="23"/>
    </row>
    <row r="512" spans="1:6" ht="16.5">
      <c r="A512" s="23"/>
      <c r="B512" s="23"/>
      <c r="C512" s="23"/>
      <c r="D512" s="23"/>
      <c r="E512" s="23"/>
      <c r="F512" s="23"/>
    </row>
    <row r="513" spans="1:6" ht="16.5">
      <c r="A513" s="23"/>
      <c r="B513" s="23"/>
      <c r="C513" s="23"/>
      <c r="D513" s="23"/>
      <c r="E513" s="23"/>
      <c r="F513" s="23"/>
    </row>
    <row r="514" spans="1:6" ht="16.5">
      <c r="A514" s="23"/>
      <c r="B514" s="23"/>
      <c r="C514" s="23"/>
      <c r="D514" s="23"/>
      <c r="E514" s="23"/>
      <c r="F514" s="23"/>
    </row>
    <row r="515" spans="1:6" ht="16.5">
      <c r="A515" s="23"/>
      <c r="B515" s="23"/>
      <c r="C515" s="23"/>
      <c r="D515" s="23"/>
      <c r="E515" s="23"/>
      <c r="F515" s="23"/>
    </row>
    <row r="516" spans="1:6" ht="16.5">
      <c r="A516" s="23"/>
      <c r="B516" s="23"/>
      <c r="C516" s="23"/>
      <c r="D516" s="23"/>
      <c r="E516" s="23"/>
      <c r="F516" s="23"/>
    </row>
    <row r="517" spans="1:6" ht="16.5">
      <c r="A517" s="23"/>
      <c r="B517" s="23"/>
      <c r="C517" s="23"/>
      <c r="D517" s="23"/>
      <c r="E517" s="23"/>
      <c r="F517" s="23"/>
    </row>
    <row r="518" spans="1:6" ht="16.5">
      <c r="A518" s="23"/>
      <c r="B518" s="23"/>
      <c r="C518" s="23"/>
      <c r="D518" s="23"/>
      <c r="E518" s="23"/>
      <c r="F518" s="23"/>
    </row>
    <row r="519" spans="1:6" ht="16.5">
      <c r="A519" s="23"/>
      <c r="B519" s="23"/>
      <c r="C519" s="23"/>
      <c r="D519" s="23"/>
      <c r="E519" s="23"/>
      <c r="F519" s="23"/>
    </row>
    <row r="520" spans="1:6" ht="16.5">
      <c r="A520" s="23"/>
      <c r="B520" s="23"/>
      <c r="C520" s="23"/>
      <c r="D520" s="23"/>
      <c r="E520" s="23"/>
      <c r="F520" s="23"/>
    </row>
    <row r="521" spans="1:6" ht="16.5">
      <c r="A521" s="23"/>
      <c r="B521" s="23"/>
      <c r="C521" s="23"/>
      <c r="D521" s="23"/>
      <c r="E521" s="23"/>
      <c r="F521" s="23"/>
    </row>
    <row r="522" spans="1:6" ht="16.5">
      <c r="A522" s="23"/>
      <c r="B522" s="23"/>
      <c r="C522" s="23"/>
      <c r="D522" s="23"/>
      <c r="E522" s="23"/>
      <c r="F522" s="23"/>
    </row>
    <row r="523" spans="1:6" ht="16.5">
      <c r="A523" s="23"/>
      <c r="B523" s="23"/>
      <c r="C523" s="23"/>
      <c r="D523" s="23"/>
      <c r="E523" s="23"/>
      <c r="F523" s="23"/>
    </row>
    <row r="524" spans="1:6" ht="16.5">
      <c r="A524" s="23"/>
      <c r="B524" s="23"/>
      <c r="C524" s="23"/>
      <c r="D524" s="23"/>
      <c r="E524" s="23"/>
      <c r="F524" s="23"/>
    </row>
    <row r="525" spans="1:6" ht="16.5">
      <c r="A525" s="23"/>
      <c r="B525" s="23"/>
      <c r="C525" s="23"/>
      <c r="D525" s="23"/>
      <c r="E525" s="23"/>
      <c r="F525" s="23"/>
    </row>
    <row r="526" spans="1:6" ht="16.5">
      <c r="A526" s="23"/>
      <c r="B526" s="23"/>
      <c r="C526" s="23"/>
      <c r="D526" s="23"/>
      <c r="E526" s="23"/>
      <c r="F526" s="23"/>
    </row>
    <row r="527" spans="1:6" ht="16.5">
      <c r="A527" s="23"/>
      <c r="B527" s="23"/>
      <c r="C527" s="23"/>
      <c r="D527" s="23"/>
      <c r="E527" s="23"/>
      <c r="F527" s="23"/>
    </row>
    <row r="528" spans="1:6" ht="16.5">
      <c r="A528" s="23"/>
      <c r="B528" s="23"/>
      <c r="C528" s="23"/>
      <c r="D528" s="23"/>
      <c r="E528" s="23"/>
      <c r="F528" s="23"/>
    </row>
    <row r="529" spans="1:6" ht="16.5">
      <c r="A529" s="23"/>
      <c r="B529" s="23"/>
      <c r="C529" s="23"/>
      <c r="D529" s="23"/>
      <c r="E529" s="23"/>
      <c r="F529" s="23"/>
    </row>
    <row r="530" spans="1:6" ht="16.5">
      <c r="A530" s="23"/>
      <c r="B530" s="23"/>
      <c r="C530" s="23"/>
      <c r="D530" s="23"/>
      <c r="E530" s="23"/>
      <c r="F530" s="23"/>
    </row>
    <row r="531" spans="1:6" ht="16.5">
      <c r="A531" s="23"/>
      <c r="B531" s="23"/>
      <c r="C531" s="23"/>
      <c r="D531" s="23"/>
      <c r="E531" s="23"/>
      <c r="F531" s="23"/>
    </row>
    <row r="532" spans="1:6" ht="16.5">
      <c r="A532" s="23"/>
      <c r="B532" s="23"/>
      <c r="C532" s="23"/>
      <c r="D532" s="23"/>
      <c r="E532" s="23"/>
      <c r="F532" s="23"/>
    </row>
    <row r="533" spans="1:6" ht="16.5">
      <c r="A533" s="23"/>
      <c r="B533" s="23"/>
      <c r="C533" s="23"/>
      <c r="D533" s="23"/>
      <c r="E533" s="23"/>
      <c r="F533" s="23"/>
    </row>
    <row r="534" spans="1:6" ht="16.5">
      <c r="A534" s="23"/>
      <c r="B534" s="23"/>
      <c r="C534" s="23"/>
      <c r="D534" s="23"/>
      <c r="E534" s="23"/>
      <c r="F534" s="23"/>
    </row>
    <row r="535" spans="1:6" ht="16.5">
      <c r="A535" s="23"/>
      <c r="B535" s="23"/>
      <c r="C535" s="23"/>
      <c r="D535" s="23"/>
      <c r="E535" s="23"/>
      <c r="F535" s="23"/>
    </row>
    <row r="536" spans="1:6" ht="16.5">
      <c r="A536" s="23"/>
      <c r="B536" s="23"/>
      <c r="C536" s="23"/>
      <c r="D536" s="23"/>
      <c r="E536" s="23"/>
      <c r="F536" s="23"/>
    </row>
    <row r="537" spans="1:6" ht="16.5">
      <c r="A537" s="23"/>
      <c r="B537" s="23"/>
      <c r="C537" s="23"/>
      <c r="D537" s="23"/>
      <c r="E537" s="23"/>
      <c r="F537" s="23"/>
    </row>
    <row r="538" spans="1:6" ht="16.5">
      <c r="A538" s="23"/>
      <c r="B538" s="23"/>
      <c r="C538" s="23"/>
      <c r="D538" s="23"/>
      <c r="E538" s="23"/>
      <c r="F538" s="23"/>
    </row>
    <row r="539" spans="1:6" ht="16.5">
      <c r="A539" s="23"/>
      <c r="B539" s="23"/>
      <c r="C539" s="23"/>
      <c r="D539" s="23"/>
      <c r="E539" s="23"/>
      <c r="F539" s="23"/>
    </row>
    <row r="540" spans="1:6" ht="16.5">
      <c r="A540" s="23"/>
      <c r="B540" s="23"/>
      <c r="C540" s="23"/>
      <c r="D540" s="23"/>
      <c r="E540" s="23"/>
      <c r="F540" s="23"/>
    </row>
    <row r="541" spans="1:6" ht="16.5">
      <c r="A541" s="23"/>
      <c r="B541" s="23"/>
      <c r="C541" s="23"/>
      <c r="D541" s="23"/>
      <c r="E541" s="23"/>
      <c r="F541" s="23"/>
    </row>
    <row r="542" spans="1:6" ht="16.5">
      <c r="A542" s="23"/>
      <c r="B542" s="23"/>
      <c r="C542" s="23"/>
      <c r="D542" s="23"/>
      <c r="E542" s="23"/>
      <c r="F542" s="23"/>
    </row>
    <row r="543" spans="1:6" ht="16.5">
      <c r="A543" s="23"/>
      <c r="B543" s="23"/>
      <c r="C543" s="23"/>
      <c r="D543" s="23"/>
      <c r="E543" s="23"/>
      <c r="F543" s="23"/>
    </row>
    <row r="544" spans="1:6" ht="16.5">
      <c r="A544" s="23"/>
      <c r="B544" s="23"/>
      <c r="C544" s="23"/>
      <c r="D544" s="23"/>
      <c r="E544" s="23"/>
      <c r="F544" s="23"/>
    </row>
    <row r="545" spans="1:6" ht="16.5">
      <c r="A545" s="23"/>
      <c r="B545" s="23"/>
      <c r="C545" s="23"/>
      <c r="D545" s="23"/>
      <c r="E545" s="23"/>
      <c r="F545" s="23"/>
    </row>
    <row r="546" spans="1:6" ht="16.5">
      <c r="A546" s="23"/>
      <c r="B546" s="23"/>
      <c r="C546" s="23"/>
      <c r="D546" s="23"/>
      <c r="E546" s="23"/>
      <c r="F546" s="23"/>
    </row>
    <row r="547" spans="1:6" ht="16.5">
      <c r="A547" s="23"/>
      <c r="B547" s="23"/>
      <c r="C547" s="23"/>
      <c r="D547" s="23"/>
      <c r="E547" s="23"/>
      <c r="F547" s="23"/>
    </row>
    <row r="548" spans="1:6" ht="16.5">
      <c r="A548" s="23"/>
      <c r="B548" s="23"/>
      <c r="C548" s="23"/>
      <c r="D548" s="23"/>
      <c r="E548" s="23"/>
      <c r="F548" s="23"/>
    </row>
    <row r="549" spans="1:6" ht="16.5">
      <c r="A549" s="23"/>
      <c r="B549" s="23"/>
      <c r="C549" s="23"/>
      <c r="D549" s="23"/>
      <c r="E549" s="23"/>
      <c r="F549" s="23"/>
    </row>
    <row r="550" spans="1:6" ht="16.5">
      <c r="A550" s="23"/>
      <c r="B550" s="23"/>
      <c r="C550" s="23"/>
      <c r="D550" s="23"/>
      <c r="E550" s="23"/>
      <c r="F550" s="23"/>
    </row>
    <row r="551" spans="1:6" ht="16.5">
      <c r="A551" s="23"/>
      <c r="B551" s="23"/>
      <c r="C551" s="23"/>
      <c r="D551" s="23"/>
      <c r="E551" s="23"/>
      <c r="F551" s="23"/>
    </row>
    <row r="552" spans="1:6" ht="16.5">
      <c r="A552" s="23"/>
      <c r="B552" s="23"/>
      <c r="C552" s="23"/>
      <c r="D552" s="23"/>
      <c r="E552" s="23"/>
      <c r="F552" s="23"/>
    </row>
    <row r="553" spans="1:6" ht="16.5">
      <c r="A553" s="23"/>
      <c r="B553" s="23"/>
      <c r="C553" s="23"/>
      <c r="D553" s="23"/>
      <c r="E553" s="23"/>
      <c r="F553" s="23"/>
    </row>
    <row r="554" spans="1:6" ht="16.5">
      <c r="A554" s="23"/>
      <c r="B554" s="23"/>
      <c r="C554" s="23"/>
      <c r="D554" s="23"/>
      <c r="E554" s="23"/>
      <c r="F554" s="23"/>
    </row>
    <row r="555" spans="1:6" ht="16.5">
      <c r="A555" s="23"/>
      <c r="B555" s="23"/>
      <c r="C555" s="23"/>
      <c r="D555" s="23"/>
      <c r="E555" s="23"/>
      <c r="F555" s="23"/>
    </row>
    <row r="556" spans="1:6" ht="16.5">
      <c r="A556" s="23"/>
      <c r="B556" s="23"/>
      <c r="C556" s="23"/>
      <c r="D556" s="23"/>
      <c r="E556" s="23"/>
      <c r="F556" s="23"/>
    </row>
    <row r="557" spans="1:6" ht="16.5">
      <c r="A557" s="23"/>
      <c r="B557" s="23"/>
      <c r="C557" s="23"/>
      <c r="D557" s="23"/>
      <c r="E557" s="23"/>
      <c r="F557" s="23"/>
    </row>
    <row r="558" spans="1:6" ht="16.5">
      <c r="A558" s="23"/>
      <c r="B558" s="23"/>
      <c r="C558" s="23"/>
      <c r="D558" s="23"/>
      <c r="E558" s="23"/>
      <c r="F558" s="23"/>
    </row>
    <row r="559" spans="1:6" ht="16.5">
      <c r="A559" s="23"/>
      <c r="B559" s="23"/>
      <c r="C559" s="23"/>
      <c r="D559" s="23"/>
      <c r="E559" s="23"/>
      <c r="F559" s="23"/>
    </row>
    <row r="560" spans="1:6" ht="16.5">
      <c r="A560" s="23"/>
      <c r="B560" s="23"/>
      <c r="C560" s="23"/>
      <c r="D560" s="23"/>
      <c r="E560" s="23"/>
      <c r="F560" s="23"/>
    </row>
    <row r="561" spans="1:6" ht="16.5">
      <c r="A561" s="23"/>
      <c r="B561" s="23"/>
      <c r="C561" s="23"/>
      <c r="D561" s="23"/>
      <c r="E561" s="23"/>
      <c r="F561" s="23"/>
    </row>
    <row r="562" spans="1:6" ht="16.5">
      <c r="A562" s="23"/>
      <c r="B562" s="23"/>
      <c r="C562" s="23"/>
      <c r="D562" s="23"/>
      <c r="E562" s="23"/>
      <c r="F562" s="23"/>
    </row>
    <row r="563" spans="1:6" ht="16.5">
      <c r="A563" s="23"/>
      <c r="B563" s="23"/>
      <c r="C563" s="23"/>
      <c r="D563" s="23"/>
      <c r="E563" s="23"/>
      <c r="F563" s="23"/>
    </row>
    <row r="564" spans="1:6" ht="16.5">
      <c r="A564" s="23"/>
      <c r="B564" s="23"/>
      <c r="C564" s="23"/>
      <c r="D564" s="23"/>
      <c r="E564" s="23"/>
      <c r="F564" s="23"/>
    </row>
    <row r="565" spans="1:6" ht="16.5">
      <c r="A565" s="23"/>
      <c r="B565" s="23"/>
      <c r="C565" s="23"/>
      <c r="D565" s="23"/>
      <c r="E565" s="23"/>
      <c r="F565" s="23"/>
    </row>
    <row r="566" spans="1:6" ht="16.5">
      <c r="A566" s="23"/>
      <c r="B566" s="23"/>
      <c r="C566" s="23"/>
      <c r="D566" s="23"/>
      <c r="E566" s="23"/>
      <c r="F566" s="23"/>
    </row>
    <row r="567" spans="1:6" ht="16.5">
      <c r="A567" s="23"/>
      <c r="B567" s="23"/>
      <c r="C567" s="23"/>
      <c r="D567" s="23"/>
      <c r="E567" s="23"/>
      <c r="F567" s="23"/>
    </row>
    <row r="568" spans="1:6" ht="16.5">
      <c r="A568" s="23"/>
      <c r="B568" s="23"/>
      <c r="C568" s="23"/>
      <c r="D568" s="23"/>
      <c r="E568" s="23"/>
      <c r="F568" s="23"/>
    </row>
    <row r="569" spans="1:6" ht="16.5">
      <c r="A569" s="23"/>
      <c r="B569" s="23"/>
      <c r="C569" s="23"/>
      <c r="D569" s="23"/>
      <c r="E569" s="23"/>
      <c r="F569" s="23"/>
    </row>
    <row r="570" spans="1:6" ht="16.5">
      <c r="A570" s="23"/>
      <c r="B570" s="23"/>
      <c r="C570" s="23"/>
      <c r="D570" s="23"/>
      <c r="E570" s="23"/>
      <c r="F570" s="23"/>
    </row>
    <row r="571" spans="1:6" ht="16.5">
      <c r="A571" s="23"/>
      <c r="B571" s="23"/>
      <c r="C571" s="23"/>
      <c r="D571" s="23"/>
      <c r="E571" s="23"/>
      <c r="F571" s="23"/>
    </row>
    <row r="572" spans="1:6" ht="16.5">
      <c r="A572" s="23"/>
      <c r="B572" s="23"/>
      <c r="C572" s="23"/>
      <c r="D572" s="23"/>
      <c r="E572" s="23"/>
      <c r="F572" s="23"/>
    </row>
    <row r="573" spans="1:6" ht="16.5">
      <c r="A573" s="23"/>
      <c r="B573" s="23"/>
      <c r="C573" s="23"/>
      <c r="D573" s="23"/>
      <c r="E573" s="23"/>
      <c r="F573" s="23"/>
    </row>
    <row r="574" spans="1:6" ht="16.5">
      <c r="A574" s="23"/>
      <c r="B574" s="23"/>
      <c r="C574" s="23"/>
      <c r="D574" s="23"/>
      <c r="E574" s="23"/>
      <c r="F574" s="23"/>
    </row>
    <row r="575" spans="1:6" ht="16.5">
      <c r="A575" s="23"/>
      <c r="B575" s="23"/>
      <c r="C575" s="23"/>
      <c r="D575" s="23"/>
      <c r="E575" s="23"/>
      <c r="F575" s="23"/>
    </row>
    <row r="576" spans="1:6" ht="16.5">
      <c r="A576" s="23"/>
      <c r="B576" s="23"/>
      <c r="C576" s="23"/>
      <c r="D576" s="23"/>
      <c r="E576" s="23"/>
      <c r="F576" s="23"/>
    </row>
    <row r="577" spans="1:6" ht="16.5">
      <c r="A577" s="23"/>
      <c r="B577" s="23"/>
      <c r="C577" s="23"/>
      <c r="D577" s="23"/>
      <c r="E577" s="23"/>
      <c r="F577" s="23"/>
    </row>
    <row r="578" spans="1:6" ht="16.5">
      <c r="A578" s="23"/>
      <c r="B578" s="23"/>
      <c r="C578" s="23"/>
      <c r="D578" s="23"/>
      <c r="E578" s="23"/>
      <c r="F578" s="23"/>
    </row>
    <row r="579" spans="1:6" ht="16.5">
      <c r="A579" s="23"/>
      <c r="B579" s="23"/>
      <c r="C579" s="23"/>
      <c r="D579" s="23"/>
      <c r="E579" s="23"/>
      <c r="F579" s="23"/>
    </row>
    <row r="580" spans="1:6" ht="16.5">
      <c r="A580" s="23"/>
      <c r="B580" s="23"/>
      <c r="C580" s="23"/>
      <c r="D580" s="23"/>
      <c r="E580" s="23"/>
      <c r="F580" s="23"/>
    </row>
    <row r="581" spans="1:6" ht="16.5">
      <c r="A581" s="23"/>
      <c r="B581" s="23"/>
      <c r="C581" s="23"/>
      <c r="D581" s="23"/>
      <c r="E581" s="23"/>
      <c r="F581" s="23"/>
    </row>
    <row r="582" spans="1:6" ht="16.5">
      <c r="A582" s="23"/>
      <c r="B582" s="23"/>
      <c r="C582" s="23"/>
      <c r="D582" s="23"/>
      <c r="E582" s="23"/>
      <c r="F582" s="23"/>
    </row>
    <row r="583" spans="1:6" ht="16.5">
      <c r="A583" s="23"/>
      <c r="B583" s="23"/>
      <c r="C583" s="23"/>
      <c r="D583" s="23"/>
      <c r="E583" s="23"/>
      <c r="F583" s="23"/>
    </row>
    <row r="584" spans="1:6" ht="16.5">
      <c r="A584" s="23"/>
      <c r="B584" s="23"/>
      <c r="C584" s="23"/>
      <c r="D584" s="23"/>
      <c r="E584" s="23"/>
      <c r="F584" s="23"/>
    </row>
    <row r="585" spans="1:6" ht="16.5">
      <c r="A585" s="23"/>
      <c r="B585" s="23"/>
      <c r="C585" s="23"/>
      <c r="D585" s="23"/>
      <c r="E585" s="23"/>
      <c r="F585" s="23"/>
    </row>
    <row r="586" spans="1:6" ht="16.5">
      <c r="A586" s="23"/>
      <c r="B586" s="23"/>
      <c r="C586" s="23"/>
      <c r="D586" s="23"/>
      <c r="E586" s="23"/>
      <c r="F586" s="23"/>
    </row>
    <row r="587" spans="1:6" ht="16.5">
      <c r="A587" s="23"/>
      <c r="B587" s="23"/>
      <c r="C587" s="23"/>
      <c r="D587" s="23"/>
      <c r="E587" s="23"/>
      <c r="F587" s="23"/>
    </row>
    <row r="588" spans="1:6" ht="16.5">
      <c r="A588" s="23"/>
      <c r="B588" s="23"/>
      <c r="C588" s="23"/>
      <c r="D588" s="23"/>
      <c r="E588" s="23"/>
      <c r="F588" s="23"/>
    </row>
    <row r="589" spans="1:6" ht="16.5">
      <c r="A589" s="23"/>
      <c r="B589" s="23"/>
      <c r="C589" s="23"/>
      <c r="D589" s="23"/>
      <c r="E589" s="23"/>
      <c r="F589" s="23"/>
    </row>
    <row r="590" spans="1:6" ht="16.5">
      <c r="A590" s="23"/>
      <c r="B590" s="23"/>
      <c r="C590" s="23"/>
      <c r="D590" s="23"/>
      <c r="E590" s="23"/>
      <c r="F590" s="23"/>
    </row>
    <row r="591" spans="1:6" ht="16.5">
      <c r="A591" s="23"/>
      <c r="B591" s="23"/>
      <c r="C591" s="23"/>
      <c r="D591" s="23"/>
      <c r="E591" s="23"/>
      <c r="F591" s="23"/>
    </row>
    <row r="592" spans="1:6" ht="16.5">
      <c r="A592" s="23"/>
      <c r="B592" s="23"/>
      <c r="C592" s="23"/>
      <c r="D592" s="23"/>
      <c r="E592" s="23"/>
      <c r="F592" s="23"/>
    </row>
    <row r="593" spans="1:6" ht="16.5">
      <c r="A593" s="23"/>
      <c r="B593" s="23"/>
      <c r="C593" s="23"/>
      <c r="D593" s="23"/>
      <c r="E593" s="23"/>
      <c r="F593" s="23"/>
    </row>
    <row r="594" spans="1:6" ht="16.5">
      <c r="A594" s="23"/>
      <c r="B594" s="23"/>
      <c r="C594" s="23"/>
      <c r="D594" s="23"/>
      <c r="E594" s="23"/>
      <c r="F594" s="23"/>
    </row>
    <row r="595" spans="1:6" ht="16.5">
      <c r="A595" s="23"/>
      <c r="B595" s="23"/>
      <c r="C595" s="23"/>
      <c r="D595" s="23"/>
      <c r="E595" s="23"/>
      <c r="F595" s="23"/>
    </row>
    <row r="596" spans="1:6" ht="16.5">
      <c r="A596" s="23"/>
      <c r="B596" s="23"/>
      <c r="C596" s="23"/>
      <c r="D596" s="23"/>
      <c r="E596" s="23"/>
      <c r="F596" s="23"/>
    </row>
    <row r="597" spans="1:6" ht="16.5">
      <c r="A597" s="23"/>
      <c r="B597" s="23"/>
      <c r="C597" s="23"/>
      <c r="D597" s="23"/>
      <c r="E597" s="23"/>
      <c r="F597" s="23"/>
    </row>
    <row r="598" spans="1:6" ht="16.5">
      <c r="A598" s="23"/>
      <c r="B598" s="23"/>
      <c r="C598" s="23"/>
      <c r="D598" s="23"/>
      <c r="E598" s="23"/>
      <c r="F598" s="23"/>
    </row>
    <row r="599" spans="1:6" ht="16.5">
      <c r="A599" s="23"/>
      <c r="B599" s="23"/>
      <c r="C599" s="23"/>
      <c r="D599" s="23"/>
      <c r="E599" s="23"/>
      <c r="F599" s="23"/>
    </row>
    <row r="600" spans="1:6" ht="16.5">
      <c r="A600" s="23"/>
      <c r="B600" s="23"/>
      <c r="C600" s="23"/>
      <c r="D600" s="23"/>
      <c r="E600" s="23"/>
      <c r="F600" s="23"/>
    </row>
    <row r="601" spans="1:6" ht="16.5">
      <c r="A601" s="23"/>
      <c r="B601" s="23"/>
      <c r="C601" s="23"/>
      <c r="D601" s="23"/>
      <c r="E601" s="23"/>
      <c r="F601" s="23"/>
    </row>
    <row r="602" spans="1:6" ht="16.5">
      <c r="A602" s="23"/>
      <c r="B602" s="23"/>
      <c r="C602" s="23"/>
      <c r="D602" s="23"/>
      <c r="E602" s="23"/>
      <c r="F602" s="23"/>
    </row>
    <row r="603" spans="1:6" ht="16.5">
      <c r="A603" s="23"/>
      <c r="B603" s="23"/>
      <c r="C603" s="23"/>
      <c r="D603" s="23"/>
      <c r="E603" s="23"/>
      <c r="F603" s="23"/>
    </row>
    <row r="604" spans="1:6" ht="16.5">
      <c r="A604" s="23"/>
      <c r="B604" s="23"/>
      <c r="C604" s="23"/>
      <c r="D604" s="23"/>
      <c r="E604" s="23"/>
      <c r="F604" s="23"/>
    </row>
    <row r="605" spans="1:6" ht="16.5">
      <c r="A605" s="23"/>
      <c r="B605" s="23"/>
      <c r="C605" s="23"/>
      <c r="D605" s="23"/>
      <c r="E605" s="23"/>
      <c r="F605" s="23"/>
    </row>
    <row r="606" spans="1:6" ht="16.5">
      <c r="A606" s="23"/>
      <c r="B606" s="23"/>
      <c r="C606" s="23"/>
      <c r="D606" s="23"/>
      <c r="E606" s="23"/>
      <c r="F606" s="23"/>
    </row>
    <row r="607" spans="1:6" ht="16.5">
      <c r="A607" s="23"/>
      <c r="B607" s="23"/>
      <c r="C607" s="23"/>
      <c r="D607" s="23"/>
      <c r="E607" s="23"/>
      <c r="F607" s="23"/>
    </row>
    <row r="608" spans="1:6" ht="16.5">
      <c r="A608" s="23"/>
      <c r="B608" s="23"/>
      <c r="C608" s="23"/>
      <c r="D608" s="23"/>
      <c r="E608" s="23"/>
      <c r="F608" s="23"/>
    </row>
    <row r="609" spans="1:6" ht="16.5">
      <c r="A609" s="23"/>
      <c r="B609" s="23"/>
      <c r="C609" s="23"/>
      <c r="D609" s="23"/>
      <c r="E609" s="23"/>
      <c r="F609" s="23"/>
    </row>
    <row r="610" spans="1:6" ht="16.5">
      <c r="A610" s="23"/>
      <c r="B610" s="23"/>
      <c r="C610" s="23"/>
      <c r="D610" s="23"/>
      <c r="E610" s="23"/>
      <c r="F610" s="23"/>
    </row>
    <row r="611" spans="1:6" ht="16.5">
      <c r="A611" s="23"/>
      <c r="B611" s="23"/>
      <c r="C611" s="23"/>
      <c r="D611" s="23"/>
      <c r="E611" s="23"/>
      <c r="F611" s="23"/>
    </row>
    <row r="612" spans="1:6" ht="16.5">
      <c r="A612" s="23"/>
      <c r="B612" s="23"/>
      <c r="C612" s="23"/>
      <c r="D612" s="23"/>
      <c r="E612" s="23"/>
      <c r="F612" s="23"/>
    </row>
    <row r="613" spans="1:6" ht="16.5">
      <c r="A613" s="23"/>
      <c r="B613" s="23"/>
      <c r="C613" s="23"/>
      <c r="D613" s="23"/>
      <c r="E613" s="23"/>
      <c r="F613" s="23"/>
    </row>
    <row r="614" spans="1:6" ht="16.5">
      <c r="A614" s="23"/>
      <c r="B614" s="23"/>
      <c r="C614" s="23"/>
      <c r="D614" s="23"/>
      <c r="E614" s="23"/>
      <c r="F614" s="23"/>
    </row>
    <row r="615" spans="1:6" ht="16.5">
      <c r="A615" s="23"/>
      <c r="B615" s="23"/>
      <c r="C615" s="23"/>
      <c r="D615" s="23"/>
      <c r="E615" s="23"/>
      <c r="F615" s="23"/>
    </row>
    <row r="616" spans="1:6" ht="16.5">
      <c r="A616" s="23"/>
      <c r="B616" s="23"/>
      <c r="C616" s="23"/>
      <c r="D616" s="23"/>
      <c r="E616" s="23"/>
      <c r="F616" s="23"/>
    </row>
    <row r="617" spans="1:6" ht="16.5">
      <c r="A617" s="23"/>
      <c r="B617" s="23"/>
      <c r="C617" s="23"/>
      <c r="D617" s="23"/>
      <c r="E617" s="23"/>
      <c r="F617" s="23"/>
    </row>
    <row r="618" spans="1:6" ht="16.5">
      <c r="A618" s="23"/>
      <c r="B618" s="23"/>
      <c r="C618" s="23"/>
      <c r="D618" s="23"/>
      <c r="E618" s="23"/>
      <c r="F618" s="23"/>
    </row>
    <row r="619" spans="1:6" ht="16.5">
      <c r="A619" s="23"/>
      <c r="B619" s="23"/>
      <c r="C619" s="23"/>
      <c r="D619" s="23"/>
      <c r="E619" s="23"/>
      <c r="F619" s="23"/>
    </row>
    <row r="620" spans="1:6" ht="16.5">
      <c r="A620" s="23"/>
      <c r="B620" s="23"/>
      <c r="C620" s="23"/>
      <c r="D620" s="23"/>
      <c r="E620" s="23"/>
      <c r="F620" s="23"/>
    </row>
    <row r="621" spans="1:6" ht="16.5">
      <c r="A621" s="23"/>
      <c r="B621" s="23"/>
      <c r="C621" s="23"/>
      <c r="D621" s="23"/>
      <c r="E621" s="23"/>
      <c r="F621" s="23"/>
    </row>
    <row r="622" spans="1:6" ht="16.5">
      <c r="A622" s="23"/>
      <c r="B622" s="23"/>
      <c r="C622" s="23"/>
      <c r="D622" s="23"/>
      <c r="E622" s="23"/>
      <c r="F622" s="23"/>
    </row>
    <row r="623" spans="1:6" ht="16.5">
      <c r="A623" s="23"/>
      <c r="B623" s="23"/>
      <c r="C623" s="23"/>
      <c r="D623" s="23"/>
      <c r="E623" s="23"/>
      <c r="F623" s="23"/>
    </row>
    <row r="624" spans="1:6" ht="16.5">
      <c r="A624" s="23"/>
      <c r="B624" s="23"/>
      <c r="C624" s="23"/>
      <c r="D624" s="23"/>
      <c r="E624" s="23"/>
      <c r="F624" s="23"/>
    </row>
    <row r="625" spans="1:6" ht="16.5">
      <c r="A625" s="23"/>
      <c r="B625" s="23"/>
      <c r="C625" s="23"/>
      <c r="D625" s="23"/>
      <c r="E625" s="23"/>
      <c r="F625" s="23"/>
    </row>
    <row r="626" spans="1:6" ht="16.5">
      <c r="A626" s="23"/>
      <c r="B626" s="23"/>
      <c r="C626" s="23"/>
      <c r="D626" s="23"/>
      <c r="E626" s="23"/>
      <c r="F626" s="23"/>
    </row>
    <row r="627" spans="1:6" ht="16.5">
      <c r="A627" s="23"/>
      <c r="B627" s="23"/>
      <c r="C627" s="23"/>
      <c r="D627" s="23"/>
      <c r="E627" s="23"/>
      <c r="F627" s="23"/>
    </row>
    <row r="628" spans="1:6" ht="16.5">
      <c r="A628" s="23"/>
      <c r="B628" s="23"/>
      <c r="C628" s="23"/>
      <c r="D628" s="23"/>
      <c r="E628" s="23"/>
      <c r="F628" s="23"/>
    </row>
    <row r="629" spans="1:6" ht="16.5">
      <c r="A629" s="23"/>
      <c r="B629" s="23"/>
      <c r="C629" s="23"/>
      <c r="D629" s="23"/>
      <c r="E629" s="23"/>
      <c r="F629" s="23"/>
    </row>
    <row r="630" spans="1:6" ht="16.5">
      <c r="A630" s="23"/>
      <c r="B630" s="23"/>
      <c r="C630" s="23"/>
      <c r="D630" s="23"/>
      <c r="E630" s="23"/>
      <c r="F630" s="23"/>
    </row>
    <row r="631" spans="1:6" ht="16.5">
      <c r="A631" s="23"/>
      <c r="B631" s="23"/>
      <c r="C631" s="23"/>
      <c r="D631" s="23"/>
      <c r="E631" s="23"/>
      <c r="F631" s="23"/>
    </row>
    <row r="632" spans="1:6" ht="16.5">
      <c r="A632" s="23"/>
      <c r="B632" s="23"/>
      <c r="C632" s="23"/>
      <c r="D632" s="23"/>
      <c r="E632" s="23"/>
      <c r="F632" s="23"/>
    </row>
    <row r="633" spans="1:6" ht="16.5">
      <c r="A633" s="23"/>
      <c r="B633" s="23"/>
      <c r="C633" s="23"/>
      <c r="D633" s="23"/>
      <c r="E633" s="23"/>
      <c r="F633" s="23"/>
    </row>
    <row r="634" spans="1:6" ht="16.5">
      <c r="A634" s="23"/>
      <c r="B634" s="23"/>
      <c r="C634" s="23"/>
      <c r="D634" s="23"/>
      <c r="E634" s="23"/>
      <c r="F634" s="23"/>
    </row>
    <row r="635" spans="1:6" ht="16.5">
      <c r="A635" s="23"/>
      <c r="B635" s="23"/>
      <c r="C635" s="23"/>
      <c r="D635" s="23"/>
      <c r="E635" s="23"/>
      <c r="F635" s="23"/>
    </row>
    <row r="636" spans="1:6" ht="16.5">
      <c r="A636" s="23"/>
      <c r="B636" s="23"/>
      <c r="C636" s="23"/>
      <c r="D636" s="23"/>
      <c r="E636" s="23"/>
      <c r="F636" s="23"/>
    </row>
    <row r="637" spans="1:6" ht="16.5">
      <c r="A637" s="23"/>
      <c r="B637" s="23"/>
      <c r="C637" s="23"/>
      <c r="D637" s="23"/>
      <c r="E637" s="23"/>
      <c r="F637" s="23"/>
    </row>
    <row r="638" spans="1:6" ht="16.5">
      <c r="A638" s="23"/>
      <c r="B638" s="23"/>
      <c r="C638" s="23"/>
      <c r="D638" s="23"/>
      <c r="E638" s="23"/>
      <c r="F638" s="23"/>
    </row>
    <row r="639" spans="1:6" ht="16.5">
      <c r="A639" s="23"/>
      <c r="B639" s="23"/>
      <c r="C639" s="23"/>
      <c r="D639" s="23"/>
      <c r="E639" s="23"/>
      <c r="F639" s="23"/>
    </row>
    <row r="640" spans="1:6" ht="16.5">
      <c r="A640" s="23"/>
      <c r="B640" s="23"/>
      <c r="C640" s="23"/>
      <c r="D640" s="23"/>
      <c r="E640" s="23"/>
      <c r="F640" s="23"/>
    </row>
    <row r="641" spans="1:6" ht="16.5">
      <c r="A641" s="23"/>
      <c r="B641" s="23"/>
      <c r="C641" s="23"/>
      <c r="D641" s="23"/>
      <c r="E641" s="23"/>
      <c r="F641" s="23"/>
    </row>
    <row r="642" spans="1:6" ht="16.5">
      <c r="A642" s="23"/>
      <c r="B642" s="23"/>
      <c r="C642" s="23"/>
      <c r="D642" s="23"/>
      <c r="E642" s="23"/>
      <c r="F642" s="23"/>
    </row>
    <row r="643" spans="1:6" ht="16.5">
      <c r="A643" s="23"/>
      <c r="B643" s="23"/>
      <c r="C643" s="23"/>
      <c r="D643" s="23"/>
      <c r="E643" s="23"/>
      <c r="F643" s="23"/>
    </row>
    <row r="644" spans="1:6" ht="16.5">
      <c r="A644" s="23"/>
      <c r="B644" s="23"/>
      <c r="C644" s="23"/>
      <c r="D644" s="23"/>
      <c r="E644" s="23"/>
      <c r="F644" s="23"/>
    </row>
    <row r="645" spans="1:6" ht="16.5">
      <c r="A645" s="23"/>
      <c r="B645" s="23"/>
      <c r="C645" s="23"/>
      <c r="D645" s="23"/>
      <c r="E645" s="23"/>
      <c r="F645" s="23"/>
    </row>
    <row r="646" spans="1:6" ht="16.5">
      <c r="A646" s="23"/>
      <c r="B646" s="23"/>
      <c r="C646" s="23"/>
      <c r="D646" s="23"/>
      <c r="E646" s="23"/>
      <c r="F646" s="23"/>
    </row>
    <row r="647" spans="1:6" ht="16.5">
      <c r="A647" s="23"/>
      <c r="B647" s="23"/>
      <c r="C647" s="23"/>
      <c r="D647" s="23"/>
      <c r="E647" s="23"/>
      <c r="F647" s="23"/>
    </row>
    <row r="648" spans="1:6" ht="16.5">
      <c r="A648" s="23"/>
      <c r="B648" s="23"/>
      <c r="C648" s="23"/>
      <c r="D648" s="23"/>
      <c r="E648" s="23"/>
      <c r="F648" s="23"/>
    </row>
    <row r="649" spans="1:6" ht="16.5">
      <c r="A649" s="23"/>
      <c r="B649" s="23"/>
      <c r="C649" s="23"/>
      <c r="D649" s="23"/>
      <c r="E649" s="23"/>
      <c r="F649" s="23"/>
    </row>
    <row r="650" spans="1:6" ht="16.5">
      <c r="A650" s="23"/>
      <c r="B650" s="23"/>
      <c r="C650" s="23"/>
      <c r="D650" s="23"/>
      <c r="E650" s="23"/>
      <c r="F650" s="23"/>
    </row>
    <row r="651" spans="1:6" ht="16.5">
      <c r="A651" s="23"/>
      <c r="B651" s="23"/>
      <c r="C651" s="23"/>
      <c r="D651" s="23"/>
      <c r="E651" s="23"/>
      <c r="F651" s="23"/>
    </row>
    <row r="652" spans="1:6" ht="16.5">
      <c r="A652" s="23"/>
      <c r="B652" s="23"/>
      <c r="C652" s="23"/>
      <c r="D652" s="23"/>
      <c r="E652" s="23"/>
      <c r="F652" s="23"/>
    </row>
    <row r="653" spans="1:6" ht="16.5">
      <c r="A653" s="23"/>
      <c r="B653" s="23"/>
      <c r="C653" s="23"/>
      <c r="D653" s="23"/>
      <c r="E653" s="23"/>
      <c r="F653" s="23"/>
    </row>
    <row r="654" spans="1:6" ht="16.5">
      <c r="A654" s="23"/>
      <c r="B654" s="23"/>
      <c r="C654" s="23"/>
      <c r="D654" s="23"/>
      <c r="E654" s="23"/>
      <c r="F654" s="23"/>
    </row>
    <row r="655" spans="1:6" ht="16.5">
      <c r="A655" s="23"/>
      <c r="B655" s="23"/>
      <c r="C655" s="23"/>
      <c r="D655" s="23"/>
      <c r="E655" s="23"/>
      <c r="F655" s="23"/>
    </row>
    <row r="656" spans="1:6" ht="16.5">
      <c r="A656" s="23"/>
      <c r="B656" s="23"/>
      <c r="C656" s="23"/>
      <c r="D656" s="23"/>
      <c r="E656" s="23"/>
      <c r="F656" s="23"/>
    </row>
    <row r="657" spans="1:6" ht="16.5">
      <c r="A657" s="23"/>
      <c r="B657" s="23"/>
      <c r="C657" s="23"/>
      <c r="D657" s="23"/>
      <c r="E657" s="23"/>
      <c r="F657" s="23"/>
    </row>
    <row r="658" spans="1:6" ht="16.5">
      <c r="A658" s="23"/>
      <c r="B658" s="23"/>
      <c r="C658" s="23"/>
      <c r="D658" s="23"/>
      <c r="E658" s="23"/>
      <c r="F658" s="23"/>
    </row>
    <row r="659" spans="1:6" ht="16.5">
      <c r="A659" s="23"/>
      <c r="B659" s="23"/>
      <c r="C659" s="23"/>
      <c r="D659" s="23"/>
      <c r="E659" s="23"/>
      <c r="F659" s="23"/>
    </row>
    <row r="660" spans="1:6" ht="16.5">
      <c r="A660" s="23"/>
      <c r="B660" s="23"/>
      <c r="C660" s="23"/>
      <c r="D660" s="23"/>
      <c r="E660" s="23"/>
      <c r="F660" s="23"/>
    </row>
    <row r="661" spans="1:6" ht="16.5">
      <c r="A661" s="23"/>
      <c r="B661" s="23"/>
      <c r="C661" s="23"/>
      <c r="D661" s="23"/>
      <c r="E661" s="23"/>
      <c r="F661" s="23"/>
    </row>
    <row r="662" spans="1:6" ht="16.5">
      <c r="A662" s="23"/>
      <c r="B662" s="23"/>
      <c r="C662" s="23"/>
      <c r="D662" s="23"/>
      <c r="E662" s="23"/>
      <c r="F662" s="23"/>
    </row>
    <row r="663" spans="1:6" ht="16.5">
      <c r="A663" s="23"/>
      <c r="B663" s="23"/>
      <c r="C663" s="23"/>
      <c r="D663" s="23"/>
      <c r="E663" s="23"/>
      <c r="F663" s="23"/>
    </row>
    <row r="664" spans="1:6" ht="16.5">
      <c r="A664" s="23"/>
      <c r="B664" s="23"/>
      <c r="C664" s="23"/>
      <c r="D664" s="23"/>
      <c r="E664" s="23"/>
      <c r="F664" s="23"/>
    </row>
    <row r="665" spans="1:6" ht="16.5">
      <c r="A665" s="23"/>
      <c r="B665" s="23"/>
      <c r="C665" s="23"/>
      <c r="D665" s="23"/>
      <c r="E665" s="23"/>
      <c r="F665" s="23"/>
    </row>
    <row r="666" spans="1:6" ht="16.5">
      <c r="A666" s="23"/>
      <c r="B666" s="23"/>
      <c r="C666" s="23"/>
      <c r="D666" s="23"/>
      <c r="E666" s="23"/>
      <c r="F666" s="23"/>
    </row>
    <row r="667" spans="1:6" ht="16.5">
      <c r="A667" s="23"/>
      <c r="B667" s="23"/>
      <c r="C667" s="23"/>
      <c r="D667" s="23"/>
      <c r="E667" s="23"/>
      <c r="F667" s="23"/>
    </row>
    <row r="668" spans="1:6" ht="16.5">
      <c r="A668" s="23"/>
      <c r="B668" s="23"/>
      <c r="C668" s="23"/>
      <c r="D668" s="23"/>
      <c r="E668" s="23"/>
      <c r="F668" s="23"/>
    </row>
    <row r="669" spans="1:6" ht="16.5">
      <c r="A669" s="23"/>
      <c r="B669" s="23"/>
      <c r="C669" s="23"/>
      <c r="D669" s="23"/>
      <c r="E669" s="23"/>
      <c r="F669" s="23"/>
    </row>
    <row r="670" spans="1:6" ht="16.5">
      <c r="A670" s="23"/>
      <c r="B670" s="23"/>
      <c r="C670" s="23"/>
      <c r="D670" s="23"/>
      <c r="E670" s="23"/>
      <c r="F670" s="23"/>
    </row>
    <row r="671" spans="1:6" ht="16.5">
      <c r="A671" s="23"/>
      <c r="B671" s="23"/>
      <c r="C671" s="23"/>
      <c r="D671" s="23"/>
      <c r="E671" s="23"/>
      <c r="F671" s="23"/>
    </row>
    <row r="672" spans="1:6" ht="16.5">
      <c r="A672" s="23"/>
      <c r="B672" s="23"/>
      <c r="C672" s="23"/>
      <c r="D672" s="23"/>
      <c r="E672" s="23"/>
      <c r="F672" s="23"/>
    </row>
    <row r="673" spans="1:6" ht="16.5">
      <c r="A673" s="23"/>
      <c r="B673" s="23"/>
      <c r="C673" s="23"/>
      <c r="D673" s="23"/>
      <c r="E673" s="23"/>
      <c r="F673" s="23"/>
    </row>
    <row r="674" spans="1:6" ht="16.5">
      <c r="A674" s="23"/>
      <c r="B674" s="23"/>
      <c r="C674" s="23"/>
      <c r="D674" s="23"/>
      <c r="E674" s="23"/>
      <c r="F674" s="23"/>
    </row>
    <row r="675" spans="1:6" ht="16.5">
      <c r="A675" s="23"/>
      <c r="B675" s="23"/>
      <c r="C675" s="23"/>
      <c r="D675" s="23"/>
      <c r="E675" s="23"/>
      <c r="F675" s="23"/>
    </row>
    <row r="676" spans="1:6" ht="16.5">
      <c r="A676" s="23"/>
      <c r="B676" s="23"/>
      <c r="C676" s="23"/>
      <c r="D676" s="23"/>
      <c r="E676" s="23"/>
      <c r="F676" s="23"/>
    </row>
    <row r="677" spans="1:6" ht="16.5">
      <c r="A677" s="23"/>
      <c r="B677" s="23"/>
      <c r="C677" s="23"/>
      <c r="D677" s="23"/>
      <c r="E677" s="23"/>
      <c r="F677" s="23"/>
    </row>
    <row r="678" spans="1:6" ht="16.5">
      <c r="A678" s="23"/>
      <c r="B678" s="23"/>
      <c r="C678" s="23"/>
      <c r="D678" s="23"/>
      <c r="E678" s="23"/>
      <c r="F678" s="23"/>
    </row>
    <row r="679" spans="1:6" ht="16.5">
      <c r="A679" s="23"/>
      <c r="B679" s="23"/>
      <c r="C679" s="23"/>
      <c r="D679" s="23"/>
      <c r="E679" s="23"/>
      <c r="F679" s="23"/>
    </row>
    <row r="680" spans="1:6" ht="16.5">
      <c r="A680" s="23"/>
      <c r="B680" s="23"/>
      <c r="C680" s="23"/>
      <c r="D680" s="23"/>
      <c r="E680" s="23"/>
      <c r="F680" s="23"/>
    </row>
    <row r="681" spans="1:6" ht="16.5">
      <c r="A681" s="23"/>
      <c r="B681" s="23"/>
      <c r="C681" s="23"/>
      <c r="D681" s="23"/>
      <c r="E681" s="23"/>
      <c r="F681" s="23"/>
    </row>
    <row r="682" spans="1:6" ht="16.5">
      <c r="A682" s="23"/>
      <c r="B682" s="23"/>
      <c r="C682" s="23"/>
      <c r="D682" s="23"/>
      <c r="E682" s="23"/>
      <c r="F682" s="23"/>
    </row>
    <row r="683" spans="1:6" ht="16.5">
      <c r="A683" s="23"/>
      <c r="B683" s="23"/>
      <c r="C683" s="23"/>
      <c r="D683" s="23"/>
      <c r="E683" s="23"/>
      <c r="F683" s="23"/>
    </row>
    <row r="684" spans="1:6" ht="16.5">
      <c r="A684" s="23"/>
      <c r="B684" s="23"/>
      <c r="C684" s="23"/>
      <c r="D684" s="23"/>
      <c r="E684" s="23"/>
      <c r="F684" s="23"/>
    </row>
    <row r="685" spans="1:6" ht="16.5">
      <c r="A685" s="23"/>
      <c r="B685" s="23"/>
      <c r="C685" s="23"/>
      <c r="D685" s="23"/>
      <c r="E685" s="23"/>
      <c r="F685" s="23"/>
    </row>
    <row r="686" spans="1:6" ht="16.5">
      <c r="A686" s="23"/>
      <c r="B686" s="23"/>
      <c r="C686" s="23"/>
      <c r="D686" s="23"/>
      <c r="E686" s="23"/>
      <c r="F686" s="23"/>
    </row>
    <row r="687" spans="1:6" ht="16.5">
      <c r="A687" s="23"/>
      <c r="B687" s="23"/>
      <c r="C687" s="23"/>
      <c r="D687" s="23"/>
      <c r="E687" s="23"/>
      <c r="F687" s="23"/>
    </row>
    <row r="688" spans="1:6" ht="16.5">
      <c r="A688" s="23"/>
      <c r="B688" s="23"/>
      <c r="C688" s="23"/>
      <c r="D688" s="23"/>
      <c r="E688" s="23"/>
      <c r="F688" s="23"/>
    </row>
    <row r="689" spans="1:6" ht="16.5">
      <c r="A689" s="23"/>
      <c r="B689" s="23"/>
      <c r="C689" s="23"/>
      <c r="D689" s="23"/>
      <c r="E689" s="23"/>
      <c r="F689" s="23"/>
    </row>
    <row r="690" spans="1:6" ht="16.5">
      <c r="A690" s="23"/>
      <c r="B690" s="23"/>
      <c r="C690" s="23"/>
      <c r="D690" s="23"/>
      <c r="E690" s="23"/>
      <c r="F690" s="23"/>
    </row>
    <row r="691" spans="1:6" ht="16.5">
      <c r="A691" s="23"/>
      <c r="B691" s="23"/>
      <c r="C691" s="23"/>
      <c r="D691" s="23"/>
      <c r="E691" s="23"/>
      <c r="F691" s="23"/>
    </row>
    <row r="692" spans="1:6" ht="16.5">
      <c r="A692" s="23"/>
      <c r="B692" s="23"/>
      <c r="C692" s="23"/>
      <c r="D692" s="23"/>
      <c r="E692" s="23"/>
      <c r="F692" s="23"/>
    </row>
    <row r="693" spans="1:6" ht="16.5">
      <c r="A693" s="23"/>
      <c r="B693" s="23"/>
      <c r="C693" s="23"/>
      <c r="D693" s="23"/>
      <c r="E693" s="23"/>
      <c r="F693" s="23"/>
    </row>
    <row r="694" spans="1:6" ht="16.5">
      <c r="A694" s="23"/>
      <c r="B694" s="23"/>
      <c r="C694" s="23"/>
      <c r="D694" s="23"/>
      <c r="E694" s="23"/>
      <c r="F694" s="23"/>
    </row>
    <row r="695" spans="1:6" ht="16.5">
      <c r="A695" s="23"/>
      <c r="B695" s="23"/>
      <c r="C695" s="23"/>
      <c r="D695" s="23"/>
      <c r="E695" s="23"/>
      <c r="F695" s="23"/>
    </row>
    <row r="696" spans="1:6" ht="16.5">
      <c r="A696" s="23"/>
      <c r="B696" s="23"/>
      <c r="C696" s="23"/>
      <c r="D696" s="23"/>
      <c r="E696" s="23"/>
      <c r="F696" s="23"/>
    </row>
    <row r="697" spans="1:6" ht="16.5">
      <c r="A697" s="23"/>
      <c r="B697" s="23"/>
      <c r="C697" s="23"/>
      <c r="D697" s="23"/>
      <c r="E697" s="23"/>
      <c r="F697" s="23"/>
    </row>
    <row r="698" spans="1:6" ht="16.5">
      <c r="A698" s="23"/>
      <c r="B698" s="23"/>
      <c r="C698" s="23"/>
      <c r="D698" s="23"/>
      <c r="E698" s="23"/>
      <c r="F698" s="23"/>
    </row>
    <row r="699" spans="1:6" ht="16.5">
      <c r="A699" s="23"/>
      <c r="B699" s="23"/>
      <c r="C699" s="23"/>
      <c r="D699" s="23"/>
      <c r="E699" s="23"/>
      <c r="F699" s="23"/>
    </row>
    <row r="700" spans="1:6" ht="16.5">
      <c r="A700" s="23"/>
      <c r="B700" s="23"/>
      <c r="C700" s="23"/>
      <c r="D700" s="23"/>
      <c r="E700" s="23"/>
      <c r="F700" s="23"/>
    </row>
    <row r="701" spans="1:6" ht="16.5">
      <c r="A701" s="23"/>
      <c r="B701" s="23"/>
      <c r="C701" s="23"/>
      <c r="D701" s="23"/>
      <c r="E701" s="23"/>
      <c r="F701" s="23"/>
    </row>
    <row r="702" spans="1:6" ht="16.5">
      <c r="A702" s="23"/>
      <c r="B702" s="23"/>
      <c r="C702" s="23"/>
      <c r="D702" s="23"/>
      <c r="E702" s="23"/>
      <c r="F702" s="23"/>
    </row>
    <row r="703" spans="1:6" ht="16.5">
      <c r="A703" s="23"/>
      <c r="B703" s="23"/>
      <c r="C703" s="23"/>
      <c r="D703" s="23"/>
      <c r="E703" s="23"/>
      <c r="F703" s="23"/>
    </row>
    <row r="704" spans="1:6" ht="16.5">
      <c r="A704" s="23"/>
      <c r="B704" s="23"/>
      <c r="C704" s="23"/>
      <c r="D704" s="23"/>
      <c r="E704" s="23"/>
      <c r="F704" s="23"/>
    </row>
    <row r="705" spans="1:6" ht="16.5">
      <c r="A705" s="23"/>
      <c r="B705" s="23"/>
      <c r="C705" s="23"/>
      <c r="D705" s="23"/>
      <c r="E705" s="23"/>
      <c r="F705" s="23"/>
    </row>
    <row r="706" spans="1:6" ht="16.5">
      <c r="A706" s="23"/>
      <c r="B706" s="23"/>
      <c r="C706" s="23"/>
      <c r="D706" s="23"/>
      <c r="E706" s="23"/>
      <c r="F706" s="23"/>
    </row>
    <row r="707" spans="1:6" ht="16.5">
      <c r="A707" s="23"/>
      <c r="B707" s="23"/>
      <c r="C707" s="23"/>
      <c r="D707" s="23"/>
      <c r="E707" s="23"/>
      <c r="F707" s="23"/>
    </row>
    <row r="708" spans="1:6" ht="16.5">
      <c r="A708" s="23"/>
      <c r="B708" s="23"/>
      <c r="C708" s="23"/>
      <c r="D708" s="23"/>
      <c r="E708" s="23"/>
      <c r="F708" s="23"/>
    </row>
    <row r="709" spans="1:6" ht="16.5">
      <c r="A709" s="23"/>
      <c r="B709" s="23"/>
      <c r="C709" s="23"/>
      <c r="D709" s="23"/>
      <c r="E709" s="23"/>
      <c r="F709" s="23"/>
    </row>
    <row r="710" spans="1:6" ht="16.5">
      <c r="A710" s="23"/>
      <c r="B710" s="23"/>
      <c r="C710" s="23"/>
      <c r="D710" s="23"/>
      <c r="E710" s="23"/>
      <c r="F710" s="23"/>
    </row>
    <row r="711" spans="1:6" ht="16.5">
      <c r="A711" s="23"/>
      <c r="B711" s="23"/>
      <c r="C711" s="23"/>
      <c r="D711" s="23"/>
      <c r="E711" s="23"/>
      <c r="F711" s="23"/>
    </row>
    <row r="712" spans="1:6" ht="16.5">
      <c r="A712" s="23"/>
      <c r="B712" s="23"/>
      <c r="C712" s="23"/>
      <c r="D712" s="23"/>
      <c r="E712" s="23"/>
      <c r="F712" s="23"/>
    </row>
    <row r="713" spans="1:6" ht="16.5">
      <c r="A713" s="23"/>
      <c r="B713" s="23"/>
      <c r="C713" s="23"/>
      <c r="D713" s="23"/>
      <c r="E713" s="23"/>
      <c r="F713" s="23"/>
    </row>
    <row r="714" spans="1:6" ht="16.5">
      <c r="A714" s="23"/>
      <c r="B714" s="23"/>
      <c r="C714" s="23"/>
      <c r="D714" s="23"/>
      <c r="E714" s="23"/>
      <c r="F714" s="23"/>
    </row>
    <row r="715" spans="1:6" ht="16.5">
      <c r="A715" s="23"/>
      <c r="B715" s="23"/>
      <c r="C715" s="23"/>
      <c r="D715" s="23"/>
      <c r="E715" s="23"/>
      <c r="F715" s="23"/>
    </row>
    <row r="716" spans="1:6" ht="16.5">
      <c r="A716" s="23"/>
      <c r="B716" s="23"/>
      <c r="C716" s="23"/>
      <c r="D716" s="23"/>
      <c r="E716" s="23"/>
      <c r="F716" s="23"/>
    </row>
    <row r="717" spans="1:6" ht="16.5">
      <c r="A717" s="23"/>
      <c r="B717" s="23"/>
      <c r="C717" s="23"/>
      <c r="D717" s="23"/>
      <c r="E717" s="23"/>
      <c r="F717" s="23"/>
    </row>
    <row r="718" spans="1:6" ht="16.5">
      <c r="A718" s="23"/>
      <c r="B718" s="23"/>
      <c r="C718" s="23"/>
      <c r="D718" s="23"/>
      <c r="E718" s="23"/>
      <c r="F718" s="23"/>
    </row>
    <row r="719" spans="1:6" ht="16.5">
      <c r="A719" s="23"/>
      <c r="B719" s="23"/>
      <c r="C719" s="23"/>
      <c r="D719" s="23"/>
      <c r="E719" s="23"/>
      <c r="F719" s="23"/>
    </row>
    <row r="720" spans="1:6" ht="16.5">
      <c r="A720" s="23"/>
      <c r="B720" s="23"/>
      <c r="C720" s="23"/>
      <c r="D720" s="23"/>
      <c r="E720" s="23"/>
      <c r="F720" s="23"/>
    </row>
    <row r="721" spans="1:6" ht="16.5">
      <c r="A721" s="23"/>
      <c r="B721" s="23"/>
      <c r="C721" s="23"/>
      <c r="D721" s="23"/>
      <c r="E721" s="23"/>
      <c r="F721" s="23"/>
    </row>
    <row r="722" spans="1:6" ht="16.5">
      <c r="A722" s="23"/>
      <c r="B722" s="23"/>
      <c r="C722" s="23"/>
      <c r="D722" s="23"/>
      <c r="E722" s="23"/>
      <c r="F722" s="23"/>
    </row>
    <row r="723" spans="1:6" ht="16.5">
      <c r="A723" s="23"/>
      <c r="B723" s="23"/>
      <c r="C723" s="23"/>
      <c r="D723" s="23"/>
      <c r="E723" s="23"/>
      <c r="F723" s="23"/>
    </row>
    <row r="724" spans="1:6" ht="16.5">
      <c r="A724" s="23"/>
      <c r="B724" s="23"/>
      <c r="C724" s="23"/>
      <c r="D724" s="23"/>
      <c r="E724" s="23"/>
      <c r="F724" s="23"/>
    </row>
    <row r="725" spans="1:6" ht="16.5">
      <c r="A725" s="23"/>
      <c r="B725" s="23"/>
      <c r="C725" s="23"/>
      <c r="D725" s="23"/>
      <c r="E725" s="23"/>
      <c r="F725" s="23"/>
    </row>
    <row r="726" spans="1:6" ht="16.5">
      <c r="A726" s="23"/>
      <c r="B726" s="23"/>
      <c r="C726" s="23"/>
      <c r="D726" s="23"/>
      <c r="E726" s="23"/>
      <c r="F726" s="23"/>
    </row>
    <row r="727" spans="1:6" ht="16.5">
      <c r="A727" s="23"/>
      <c r="B727" s="23"/>
      <c r="C727" s="23"/>
      <c r="D727" s="23"/>
      <c r="E727" s="23"/>
      <c r="F727" s="23"/>
    </row>
    <row r="728" spans="1:6" ht="16.5">
      <c r="A728" s="23"/>
      <c r="B728" s="23"/>
      <c r="C728" s="23"/>
      <c r="D728" s="23"/>
      <c r="E728" s="23"/>
      <c r="F728" s="23"/>
    </row>
    <row r="729" spans="1:6" ht="16.5">
      <c r="A729" s="23"/>
      <c r="B729" s="23"/>
      <c r="C729" s="23"/>
      <c r="D729" s="23"/>
      <c r="E729" s="23"/>
      <c r="F729" s="23"/>
    </row>
    <row r="730" spans="1:6" ht="16.5">
      <c r="A730" s="23"/>
      <c r="B730" s="23"/>
      <c r="C730" s="23"/>
      <c r="D730" s="23"/>
      <c r="E730" s="23"/>
      <c r="F730" s="23"/>
    </row>
    <row r="731" spans="1:6" ht="16.5">
      <c r="A731" s="23"/>
      <c r="B731" s="23"/>
      <c r="C731" s="23"/>
      <c r="D731" s="23"/>
      <c r="E731" s="23"/>
      <c r="F731" s="23"/>
    </row>
    <row r="732" spans="1:6" ht="16.5">
      <c r="A732" s="23"/>
      <c r="B732" s="23"/>
      <c r="C732" s="23"/>
      <c r="D732" s="23"/>
      <c r="E732" s="23"/>
      <c r="F732" s="23"/>
    </row>
    <row r="733" spans="1:6" ht="16.5">
      <c r="A733" s="23"/>
      <c r="B733" s="23"/>
      <c r="C733" s="23"/>
      <c r="D733" s="23"/>
      <c r="E733" s="23"/>
      <c r="F733" s="23"/>
    </row>
    <row r="734" spans="1:6" ht="16.5">
      <c r="A734" s="23"/>
      <c r="B734" s="23"/>
      <c r="C734" s="23"/>
      <c r="D734" s="23"/>
      <c r="E734" s="23"/>
      <c r="F734" s="23"/>
    </row>
    <row r="735" spans="1:6" ht="16.5">
      <c r="A735" s="23"/>
      <c r="B735" s="23"/>
      <c r="C735" s="23"/>
      <c r="D735" s="23"/>
      <c r="E735" s="23"/>
      <c r="F735" s="23"/>
    </row>
    <row r="736" spans="1:6" ht="16.5">
      <c r="A736" s="23"/>
      <c r="B736" s="23"/>
      <c r="C736" s="23"/>
      <c r="D736" s="23"/>
      <c r="E736" s="23"/>
      <c r="F736" s="23"/>
    </row>
    <row r="737" spans="1:6" ht="16.5">
      <c r="A737" s="23"/>
      <c r="B737" s="23"/>
      <c r="C737" s="23"/>
      <c r="D737" s="23"/>
      <c r="E737" s="23"/>
      <c r="F737" s="23"/>
    </row>
    <row r="738" spans="1:6" ht="16.5">
      <c r="A738" s="23"/>
      <c r="B738" s="23"/>
      <c r="C738" s="23"/>
      <c r="D738" s="23"/>
      <c r="E738" s="23"/>
      <c r="F738" s="23"/>
    </row>
    <row r="739" spans="1:6" ht="16.5">
      <c r="A739" s="23"/>
      <c r="B739" s="23"/>
      <c r="C739" s="23"/>
      <c r="D739" s="23"/>
      <c r="E739" s="23"/>
      <c r="F739" s="23"/>
    </row>
    <row r="740" spans="1:6" ht="16.5">
      <c r="A740" s="23"/>
      <c r="B740" s="23"/>
      <c r="C740" s="23"/>
      <c r="D740" s="23"/>
      <c r="E740" s="23"/>
      <c r="F740" s="23"/>
    </row>
    <row r="741" spans="1:6" ht="16.5">
      <c r="A741" s="23"/>
      <c r="B741" s="23"/>
      <c r="C741" s="23"/>
      <c r="D741" s="23"/>
      <c r="E741" s="23"/>
      <c r="F741" s="23"/>
    </row>
    <row r="742" spans="1:6" ht="16.5">
      <c r="A742" s="23"/>
      <c r="B742" s="23"/>
      <c r="C742" s="23"/>
      <c r="D742" s="23"/>
      <c r="E742" s="23"/>
      <c r="F742" s="23"/>
    </row>
    <row r="743" spans="1:6" ht="16.5">
      <c r="A743" s="23"/>
      <c r="B743" s="23"/>
      <c r="C743" s="23"/>
      <c r="D743" s="23"/>
      <c r="E743" s="23"/>
      <c r="F743" s="23"/>
    </row>
    <row r="744" spans="1:6" ht="16.5">
      <c r="A744" s="23"/>
      <c r="B744" s="23"/>
      <c r="C744" s="23"/>
      <c r="D744" s="23"/>
      <c r="E744" s="23"/>
      <c r="F744" s="23"/>
    </row>
    <row r="745" spans="1:6" ht="16.5">
      <c r="A745" s="23"/>
      <c r="B745" s="23"/>
      <c r="C745" s="23"/>
      <c r="D745" s="23"/>
      <c r="E745" s="23"/>
      <c r="F745" s="23"/>
    </row>
    <row r="746" spans="1:6" ht="16.5">
      <c r="A746" s="23"/>
      <c r="B746" s="23"/>
      <c r="C746" s="23"/>
      <c r="D746" s="23"/>
      <c r="E746" s="23"/>
      <c r="F746" s="23"/>
    </row>
    <row r="747" spans="1:6" ht="16.5">
      <c r="A747" s="23"/>
      <c r="B747" s="23"/>
      <c r="C747" s="23"/>
      <c r="D747" s="23"/>
      <c r="E747" s="23"/>
      <c r="F747" s="23"/>
    </row>
    <row r="748" spans="1:6" ht="16.5">
      <c r="A748" s="23"/>
      <c r="B748" s="23"/>
      <c r="C748" s="23"/>
      <c r="D748" s="23"/>
      <c r="E748" s="23"/>
      <c r="F748" s="23"/>
    </row>
    <row r="749" spans="1:6" ht="16.5">
      <c r="A749" s="23"/>
      <c r="B749" s="23"/>
      <c r="C749" s="23"/>
      <c r="D749" s="23"/>
      <c r="E749" s="23"/>
      <c r="F749" s="23"/>
    </row>
    <row r="750" spans="1:6" ht="16.5">
      <c r="A750" s="23"/>
      <c r="B750" s="23"/>
      <c r="C750" s="23"/>
      <c r="D750" s="23"/>
      <c r="E750" s="23"/>
      <c r="F750" s="23"/>
    </row>
    <row r="751" spans="1:6" ht="16.5">
      <c r="A751" s="23"/>
      <c r="B751" s="23"/>
      <c r="C751" s="23"/>
      <c r="D751" s="23"/>
      <c r="E751" s="23"/>
      <c r="F751" s="23"/>
    </row>
    <row r="752" spans="1:6" ht="16.5">
      <c r="A752" s="23"/>
      <c r="B752" s="23"/>
      <c r="C752" s="23"/>
      <c r="D752" s="23"/>
      <c r="E752" s="23"/>
      <c r="F752" s="23"/>
    </row>
    <row r="753" spans="1:6" ht="16.5">
      <c r="A753" s="23"/>
      <c r="B753" s="23"/>
      <c r="C753" s="23"/>
      <c r="D753" s="23"/>
      <c r="E753" s="23"/>
      <c r="F753" s="23"/>
    </row>
    <row r="754" spans="1:6" ht="16.5">
      <c r="A754" s="23"/>
      <c r="B754" s="23"/>
      <c r="C754" s="23"/>
      <c r="D754" s="23"/>
      <c r="E754" s="23"/>
      <c r="F754" s="23"/>
    </row>
    <row r="755" spans="1:6" ht="16.5">
      <c r="A755" s="23"/>
      <c r="B755" s="23"/>
      <c r="C755" s="23"/>
      <c r="D755" s="23"/>
      <c r="E755" s="23"/>
      <c r="F755" s="23"/>
    </row>
    <row r="756" spans="1:6" ht="16.5">
      <c r="A756" s="23"/>
      <c r="B756" s="23"/>
      <c r="C756" s="23"/>
      <c r="D756" s="23"/>
      <c r="E756" s="23"/>
      <c r="F756" s="23"/>
    </row>
    <row r="757" spans="1:6" ht="16.5">
      <c r="A757" s="23"/>
      <c r="B757" s="23"/>
      <c r="C757" s="23"/>
      <c r="D757" s="23"/>
      <c r="E757" s="23"/>
      <c r="F757" s="23"/>
    </row>
    <row r="758" spans="1:6" ht="16.5">
      <c r="A758" s="23"/>
      <c r="B758" s="23"/>
      <c r="C758" s="23"/>
      <c r="D758" s="23"/>
      <c r="E758" s="23"/>
      <c r="F758" s="23"/>
    </row>
    <row r="759" spans="1:6" ht="16.5">
      <c r="A759" s="23"/>
      <c r="B759" s="23"/>
      <c r="C759" s="23"/>
      <c r="D759" s="23"/>
      <c r="E759" s="23"/>
      <c r="F759" s="23"/>
    </row>
    <row r="760" spans="1:6" ht="16.5">
      <c r="A760" s="23"/>
      <c r="B760" s="23"/>
      <c r="C760" s="23"/>
      <c r="D760" s="23"/>
      <c r="E760" s="23"/>
      <c r="F760" s="23"/>
    </row>
    <row r="761" spans="1:6" ht="16.5">
      <c r="A761" s="23"/>
      <c r="B761" s="23"/>
      <c r="C761" s="23"/>
      <c r="D761" s="23"/>
      <c r="E761" s="23"/>
      <c r="F761" s="23"/>
    </row>
    <row r="762" spans="1:6" ht="16.5">
      <c r="A762" s="23"/>
      <c r="B762" s="23"/>
      <c r="C762" s="23"/>
      <c r="D762" s="23"/>
      <c r="E762" s="23"/>
      <c r="F762" s="23"/>
    </row>
    <row r="763" spans="1:6" ht="16.5">
      <c r="A763" s="23"/>
      <c r="B763" s="23"/>
      <c r="C763" s="23"/>
      <c r="D763" s="23"/>
      <c r="E763" s="23"/>
      <c r="F763" s="23"/>
    </row>
    <row r="764" spans="1:6" ht="16.5">
      <c r="A764" s="23"/>
      <c r="B764" s="23"/>
      <c r="C764" s="23"/>
      <c r="D764" s="23"/>
      <c r="E764" s="23"/>
      <c r="F764" s="23"/>
    </row>
    <row r="765" spans="1:6" ht="16.5">
      <c r="A765" s="23"/>
      <c r="B765" s="23"/>
      <c r="C765" s="23"/>
      <c r="D765" s="23"/>
      <c r="E765" s="23"/>
      <c r="F765" s="23"/>
    </row>
    <row r="766" spans="1:6" ht="16.5">
      <c r="A766" s="23"/>
      <c r="B766" s="23"/>
      <c r="C766" s="23"/>
      <c r="D766" s="23"/>
      <c r="E766" s="23"/>
      <c r="F766" s="23"/>
    </row>
    <row r="767" spans="1:6" ht="16.5">
      <c r="A767" s="23"/>
      <c r="B767" s="23"/>
      <c r="C767" s="23"/>
      <c r="D767" s="23"/>
      <c r="E767" s="23"/>
      <c r="F767" s="23"/>
    </row>
    <row r="768" spans="1:6" ht="16.5">
      <c r="A768" s="23"/>
      <c r="B768" s="23"/>
      <c r="C768" s="23"/>
      <c r="D768" s="23"/>
      <c r="E768" s="23"/>
      <c r="F768" s="23"/>
    </row>
    <row r="769" spans="1:6" ht="16.5">
      <c r="A769" s="23"/>
      <c r="B769" s="23"/>
      <c r="C769" s="23"/>
      <c r="D769" s="23"/>
      <c r="E769" s="23"/>
      <c r="F769" s="23"/>
    </row>
    <row r="770" spans="1:6" ht="16.5">
      <c r="A770" s="23"/>
      <c r="B770" s="23"/>
      <c r="C770" s="23"/>
      <c r="D770" s="23"/>
      <c r="E770" s="23"/>
      <c r="F770" s="23"/>
    </row>
    <row r="771" spans="1:6" ht="16.5">
      <c r="A771" s="23"/>
      <c r="B771" s="23"/>
      <c r="C771" s="23"/>
      <c r="D771" s="23"/>
      <c r="E771" s="23"/>
      <c r="F771" s="23"/>
    </row>
    <row r="772" spans="1:6" ht="16.5">
      <c r="A772" s="23"/>
      <c r="B772" s="23"/>
      <c r="C772" s="23"/>
      <c r="D772" s="23"/>
      <c r="E772" s="23"/>
      <c r="F772" s="23"/>
    </row>
    <row r="773" spans="1:6" ht="16.5">
      <c r="A773" s="23"/>
      <c r="B773" s="23"/>
      <c r="C773" s="23"/>
      <c r="D773" s="23"/>
      <c r="E773" s="23"/>
      <c r="F773" s="23"/>
    </row>
    <row r="774" spans="1:6" ht="16.5">
      <c r="A774" s="23"/>
      <c r="B774" s="23"/>
      <c r="C774" s="23"/>
      <c r="D774" s="23"/>
      <c r="E774" s="23"/>
      <c r="F774" s="23"/>
    </row>
    <row r="775" spans="1:6" ht="16.5">
      <c r="A775" s="23"/>
      <c r="B775" s="23"/>
      <c r="C775" s="23"/>
      <c r="D775" s="23"/>
      <c r="E775" s="23"/>
      <c r="F775" s="23"/>
    </row>
    <row r="776" spans="1:6" ht="16.5">
      <c r="A776" s="23"/>
      <c r="B776" s="23"/>
      <c r="C776" s="23"/>
      <c r="D776" s="23"/>
      <c r="E776" s="23"/>
      <c r="F776" s="23"/>
    </row>
    <row r="777" spans="1:6" ht="16.5">
      <c r="A777" s="23"/>
      <c r="B777" s="23"/>
      <c r="C777" s="23"/>
      <c r="D777" s="23"/>
      <c r="E777" s="23"/>
      <c r="F777" s="23"/>
    </row>
    <row r="778" spans="1:6" ht="16.5">
      <c r="A778" s="23"/>
      <c r="B778" s="23"/>
      <c r="C778" s="23"/>
      <c r="D778" s="23"/>
      <c r="E778" s="23"/>
      <c r="F778" s="23"/>
    </row>
    <row r="779" spans="1:6" ht="16.5">
      <c r="A779" s="23"/>
      <c r="B779" s="23"/>
      <c r="C779" s="23"/>
      <c r="D779" s="23"/>
      <c r="E779" s="23"/>
      <c r="F779" s="23"/>
    </row>
    <row r="780" spans="1:6" ht="16.5">
      <c r="A780" s="23"/>
      <c r="B780" s="23"/>
      <c r="C780" s="23"/>
      <c r="D780" s="23"/>
      <c r="E780" s="23"/>
      <c r="F780" s="23"/>
    </row>
    <row r="781" spans="1:6" ht="16.5">
      <c r="A781" s="23"/>
      <c r="B781" s="23"/>
      <c r="C781" s="23"/>
      <c r="D781" s="23"/>
      <c r="E781" s="23"/>
      <c r="F781" s="23"/>
    </row>
    <row r="782" spans="1:6" ht="16.5">
      <c r="A782" s="23"/>
      <c r="B782" s="23"/>
      <c r="C782" s="23"/>
      <c r="D782" s="23"/>
      <c r="E782" s="23"/>
      <c r="F782" s="23"/>
    </row>
    <row r="783" spans="1:6" ht="16.5">
      <c r="A783" s="23"/>
      <c r="B783" s="23"/>
      <c r="C783" s="23"/>
      <c r="D783" s="23"/>
      <c r="E783" s="23"/>
      <c r="F783" s="23"/>
    </row>
    <row r="784" spans="1:6" ht="16.5">
      <c r="A784" s="23"/>
      <c r="B784" s="23"/>
      <c r="C784" s="23"/>
      <c r="D784" s="23"/>
      <c r="E784" s="23"/>
      <c r="F784" s="23"/>
    </row>
    <row r="785" spans="1:6" ht="16.5">
      <c r="A785" s="23"/>
      <c r="B785" s="23"/>
      <c r="C785" s="23"/>
      <c r="D785" s="23"/>
      <c r="E785" s="23"/>
      <c r="F785" s="23"/>
    </row>
    <row r="786" spans="1:6" ht="16.5">
      <c r="A786" s="23"/>
      <c r="B786" s="23"/>
      <c r="C786" s="23"/>
      <c r="D786" s="23"/>
      <c r="E786" s="23"/>
      <c r="F786" s="23"/>
    </row>
    <row r="787" spans="1:6" ht="16.5">
      <c r="A787" s="23"/>
      <c r="B787" s="23"/>
      <c r="C787" s="23"/>
      <c r="D787" s="23"/>
      <c r="E787" s="23"/>
      <c r="F787" s="23"/>
    </row>
    <row r="788" spans="1:6" ht="16.5">
      <c r="A788" s="23"/>
      <c r="B788" s="23"/>
      <c r="C788" s="23"/>
      <c r="D788" s="23"/>
      <c r="E788" s="23"/>
      <c r="F788" s="23"/>
    </row>
    <row r="789" spans="1:6" ht="16.5">
      <c r="A789" s="23"/>
      <c r="B789" s="23"/>
      <c r="C789" s="23"/>
      <c r="D789" s="23"/>
      <c r="E789" s="23"/>
      <c r="F789" s="23"/>
    </row>
    <row r="790" spans="1:6" ht="16.5">
      <c r="A790" s="23"/>
      <c r="B790" s="23"/>
      <c r="C790" s="23"/>
      <c r="D790" s="23"/>
      <c r="E790" s="23"/>
      <c r="F790" s="23"/>
    </row>
    <row r="791" spans="1:6" ht="16.5">
      <c r="A791" s="23"/>
      <c r="B791" s="23"/>
      <c r="C791" s="23"/>
      <c r="D791" s="23"/>
      <c r="E791" s="23"/>
      <c r="F791" s="23"/>
    </row>
    <row r="792" spans="1:6" ht="16.5">
      <c r="A792" s="23"/>
      <c r="B792" s="23"/>
      <c r="C792" s="23"/>
      <c r="D792" s="23"/>
      <c r="E792" s="23"/>
      <c r="F792" s="23"/>
    </row>
    <row r="793" spans="1:6" ht="16.5">
      <c r="A793" s="23"/>
      <c r="B793" s="23"/>
      <c r="C793" s="23"/>
      <c r="D793" s="23"/>
      <c r="E793" s="23"/>
      <c r="F793" s="23"/>
    </row>
    <row r="794" spans="1:6" ht="16.5">
      <c r="A794" s="23"/>
      <c r="B794" s="23"/>
      <c r="C794" s="23"/>
      <c r="D794" s="23"/>
      <c r="E794" s="23"/>
      <c r="F794" s="23"/>
    </row>
    <row r="795" spans="1:6" ht="16.5">
      <c r="A795" s="23"/>
      <c r="B795" s="23"/>
      <c r="C795" s="23"/>
      <c r="D795" s="23"/>
      <c r="E795" s="23"/>
      <c r="F795" s="23"/>
    </row>
    <row r="796" spans="1:6" ht="16.5">
      <c r="A796" s="23"/>
      <c r="B796" s="23"/>
      <c r="C796" s="23"/>
      <c r="D796" s="23"/>
      <c r="E796" s="23"/>
      <c r="F796" s="23"/>
    </row>
    <row r="797" spans="1:6" ht="16.5">
      <c r="A797" s="23"/>
      <c r="B797" s="23"/>
      <c r="C797" s="23"/>
      <c r="D797" s="23"/>
      <c r="E797" s="23"/>
      <c r="F797" s="23"/>
    </row>
    <row r="798" spans="1:6" ht="16.5">
      <c r="A798" s="23"/>
      <c r="B798" s="23"/>
      <c r="C798" s="23"/>
      <c r="D798" s="23"/>
      <c r="E798" s="23"/>
      <c r="F798" s="23"/>
    </row>
    <row r="799" spans="1:6" ht="16.5">
      <c r="A799" s="23"/>
      <c r="B799" s="23"/>
      <c r="C799" s="23"/>
      <c r="D799" s="23"/>
      <c r="E799" s="23"/>
      <c r="F799" s="23"/>
    </row>
    <row r="800" spans="1:6" ht="16.5">
      <c r="A800" s="23"/>
      <c r="B800" s="23"/>
      <c r="C800" s="23"/>
      <c r="D800" s="23"/>
      <c r="E800" s="23"/>
      <c r="F800" s="23"/>
    </row>
    <row r="801" spans="1:6" ht="16.5">
      <c r="A801" s="23"/>
      <c r="B801" s="23"/>
      <c r="C801" s="23"/>
      <c r="D801" s="23"/>
      <c r="E801" s="23"/>
      <c r="F801" s="23"/>
    </row>
    <row r="802" spans="1:6" ht="16.5">
      <c r="A802" s="23"/>
      <c r="B802" s="23"/>
      <c r="C802" s="23"/>
      <c r="D802" s="23"/>
      <c r="E802" s="23"/>
      <c r="F802" s="23"/>
    </row>
    <row r="803" spans="1:6" ht="16.5">
      <c r="A803" s="23"/>
      <c r="B803" s="23"/>
      <c r="C803" s="23"/>
      <c r="D803" s="23"/>
      <c r="E803" s="23"/>
      <c r="F803" s="23"/>
    </row>
    <row r="804" spans="1:6" ht="16.5">
      <c r="A804" s="23"/>
      <c r="B804" s="23"/>
      <c r="C804" s="23"/>
      <c r="D804" s="23"/>
      <c r="E804" s="23"/>
      <c r="F804" s="23"/>
    </row>
    <row r="805" spans="1:6" ht="16.5">
      <c r="A805" s="23"/>
      <c r="B805" s="23"/>
      <c r="C805" s="23"/>
      <c r="D805" s="23"/>
      <c r="E805" s="23"/>
      <c r="F805" s="23"/>
    </row>
    <row r="806" spans="1:6" ht="16.5">
      <c r="A806" s="23"/>
      <c r="B806" s="23"/>
      <c r="C806" s="23"/>
      <c r="D806" s="23"/>
      <c r="E806" s="23"/>
      <c r="F806" s="23"/>
    </row>
    <row r="807" spans="1:6" ht="16.5">
      <c r="A807" s="23"/>
      <c r="B807" s="23"/>
      <c r="C807" s="23"/>
      <c r="D807" s="23"/>
      <c r="E807" s="23"/>
      <c r="F807" s="23"/>
    </row>
    <row r="808" spans="1:6" ht="16.5">
      <c r="A808" s="23"/>
      <c r="B808" s="23"/>
      <c r="C808" s="23"/>
      <c r="D808" s="23"/>
      <c r="E808" s="23"/>
      <c r="F808" s="23"/>
    </row>
    <row r="809" spans="1:6" ht="16.5">
      <c r="A809" s="23"/>
      <c r="B809" s="23"/>
      <c r="C809" s="23"/>
      <c r="D809" s="23"/>
      <c r="E809" s="23"/>
      <c r="F809" s="23"/>
    </row>
    <row r="810" spans="1:6" ht="16.5">
      <c r="A810" s="23"/>
      <c r="B810" s="23"/>
      <c r="C810" s="23"/>
      <c r="D810" s="23"/>
      <c r="E810" s="23"/>
      <c r="F810" s="23"/>
    </row>
    <row r="811" spans="1:6" ht="16.5">
      <c r="A811" s="23"/>
      <c r="B811" s="23"/>
      <c r="C811" s="23"/>
      <c r="D811" s="23"/>
      <c r="E811" s="23"/>
      <c r="F811" s="23"/>
    </row>
    <row r="812" spans="1:6" ht="16.5">
      <c r="A812" s="23"/>
      <c r="B812" s="23"/>
      <c r="C812" s="23"/>
      <c r="D812" s="23"/>
      <c r="E812" s="23"/>
      <c r="F812" s="23"/>
    </row>
    <row r="813" spans="1:6" ht="16.5">
      <c r="A813" s="23"/>
      <c r="B813" s="23"/>
      <c r="C813" s="23"/>
      <c r="D813" s="23"/>
      <c r="E813" s="23"/>
      <c r="F813" s="23"/>
    </row>
    <row r="814" spans="1:6" ht="16.5">
      <c r="A814" s="23"/>
      <c r="B814" s="23"/>
      <c r="C814" s="23"/>
      <c r="D814" s="23"/>
      <c r="E814" s="23"/>
      <c r="F814" s="23"/>
    </row>
    <row r="815" spans="1:6" ht="16.5">
      <c r="A815" s="23"/>
      <c r="B815" s="23"/>
      <c r="C815" s="23"/>
      <c r="D815" s="23"/>
      <c r="E815" s="23"/>
      <c r="F815" s="23"/>
    </row>
    <row r="816" spans="1:6" ht="16.5">
      <c r="A816" s="23"/>
      <c r="B816" s="23"/>
      <c r="C816" s="23"/>
      <c r="D816" s="23"/>
      <c r="E816" s="23"/>
      <c r="F816" s="23"/>
    </row>
    <row r="817" spans="1:6" ht="16.5">
      <c r="A817" s="23"/>
      <c r="B817" s="23"/>
      <c r="C817" s="23"/>
      <c r="D817" s="23"/>
      <c r="E817" s="23"/>
      <c r="F817" s="23"/>
    </row>
    <row r="818" spans="1:6" ht="16.5">
      <c r="A818" s="23"/>
      <c r="B818" s="23"/>
      <c r="C818" s="23"/>
      <c r="D818" s="23"/>
      <c r="E818" s="23"/>
      <c r="F818" s="23"/>
    </row>
    <row r="819" spans="1:6" ht="16.5">
      <c r="A819" s="23"/>
      <c r="B819" s="23"/>
      <c r="C819" s="23"/>
      <c r="D819" s="23"/>
      <c r="E819" s="23"/>
      <c r="F819" s="23"/>
    </row>
    <row r="820" spans="1:6" ht="16.5">
      <c r="A820" s="23"/>
      <c r="B820" s="23"/>
      <c r="C820" s="23"/>
      <c r="D820" s="23"/>
      <c r="E820" s="23"/>
      <c r="F820" s="23"/>
    </row>
    <row r="821" spans="1:6" ht="16.5">
      <c r="A821" s="23"/>
      <c r="B821" s="23"/>
      <c r="C821" s="23"/>
      <c r="D821" s="23"/>
      <c r="E821" s="23"/>
      <c r="F821" s="23"/>
    </row>
    <row r="822" spans="1:6" ht="16.5">
      <c r="A822" s="23"/>
      <c r="B822" s="23"/>
      <c r="C822" s="23"/>
      <c r="D822" s="23"/>
      <c r="E822" s="23"/>
      <c r="F822" s="23"/>
    </row>
    <row r="823" spans="1:6" ht="16.5">
      <c r="A823" s="23"/>
      <c r="B823" s="23"/>
      <c r="C823" s="23"/>
      <c r="D823" s="23"/>
      <c r="E823" s="23"/>
      <c r="F823" s="23"/>
    </row>
    <row r="824" spans="1:6" ht="16.5">
      <c r="A824" s="23"/>
      <c r="B824" s="23"/>
      <c r="C824" s="23"/>
      <c r="D824" s="23"/>
      <c r="E824" s="23"/>
      <c r="F824" s="23"/>
    </row>
    <row r="825" spans="1:6" ht="16.5">
      <c r="A825" s="23"/>
      <c r="B825" s="23"/>
      <c r="C825" s="23"/>
      <c r="D825" s="23"/>
      <c r="E825" s="23"/>
      <c r="F825" s="23"/>
    </row>
    <row r="826" spans="1:6" ht="16.5">
      <c r="A826" s="23"/>
      <c r="B826" s="23"/>
      <c r="C826" s="23"/>
      <c r="D826" s="23"/>
      <c r="E826" s="23"/>
      <c r="F826" s="23"/>
    </row>
    <row r="827" spans="1:6" ht="16.5">
      <c r="A827" s="23"/>
      <c r="B827" s="23"/>
      <c r="C827" s="23"/>
      <c r="D827" s="23"/>
      <c r="E827" s="23"/>
      <c r="F827" s="23"/>
    </row>
    <row r="828" spans="1:6" ht="16.5">
      <c r="A828" s="23"/>
      <c r="B828" s="23"/>
      <c r="C828" s="23"/>
      <c r="D828" s="23"/>
      <c r="E828" s="23"/>
      <c r="F828" s="23"/>
    </row>
    <row r="829" spans="1:6" ht="16.5">
      <c r="A829" s="23"/>
      <c r="B829" s="23"/>
      <c r="C829" s="23"/>
      <c r="D829" s="23"/>
      <c r="E829" s="23"/>
      <c r="F829" s="23"/>
    </row>
    <row r="830" spans="1:6" ht="16.5">
      <c r="A830" s="23"/>
      <c r="B830" s="23"/>
      <c r="C830" s="23"/>
      <c r="D830" s="23"/>
      <c r="E830" s="23"/>
      <c r="F830" s="23"/>
    </row>
    <row r="831" spans="1:6" ht="16.5">
      <c r="A831" s="23"/>
      <c r="B831" s="23"/>
      <c r="C831" s="23"/>
      <c r="D831" s="23"/>
      <c r="E831" s="23"/>
      <c r="F831" s="23"/>
    </row>
    <row r="832" spans="1:6" ht="16.5">
      <c r="A832" s="23"/>
      <c r="B832" s="23"/>
      <c r="C832" s="23"/>
      <c r="D832" s="23"/>
      <c r="E832" s="23"/>
      <c r="F832" s="23"/>
    </row>
    <row r="833" spans="1:6" ht="16.5">
      <c r="A833" s="23"/>
      <c r="B833" s="23"/>
      <c r="C833" s="23"/>
      <c r="D833" s="23"/>
      <c r="E833" s="23"/>
      <c r="F833" s="23"/>
    </row>
    <row r="834" spans="1:6" ht="16.5">
      <c r="A834" s="23"/>
      <c r="B834" s="23"/>
      <c r="C834" s="23"/>
      <c r="D834" s="23"/>
      <c r="E834" s="23"/>
      <c r="F834" s="23"/>
    </row>
    <row r="835" spans="1:6" ht="16.5">
      <c r="A835" s="23"/>
      <c r="B835" s="23"/>
      <c r="C835" s="23"/>
      <c r="D835" s="23"/>
      <c r="E835" s="23"/>
      <c r="F835" s="23"/>
    </row>
    <row r="836" spans="1:6" ht="16.5">
      <c r="A836" s="23"/>
      <c r="B836" s="23"/>
      <c r="C836" s="23"/>
      <c r="D836" s="23"/>
      <c r="E836" s="23"/>
      <c r="F836" s="23"/>
    </row>
    <row r="837" spans="1:6" ht="16.5">
      <c r="A837" s="23"/>
      <c r="B837" s="23"/>
      <c r="C837" s="23"/>
      <c r="D837" s="23"/>
      <c r="E837" s="23"/>
      <c r="F837" s="23"/>
    </row>
    <row r="838" spans="1:6" ht="16.5">
      <c r="A838" s="23"/>
      <c r="B838" s="23"/>
      <c r="C838" s="23"/>
      <c r="D838" s="23"/>
      <c r="E838" s="23"/>
      <c r="F838" s="23"/>
    </row>
    <row r="839" spans="1:6" ht="16.5">
      <c r="A839" s="23"/>
      <c r="B839" s="23"/>
      <c r="C839" s="23"/>
      <c r="D839" s="23"/>
      <c r="E839" s="23"/>
      <c r="F839" s="23"/>
    </row>
    <row r="840" spans="1:6" ht="16.5">
      <c r="A840" s="23"/>
      <c r="B840" s="23"/>
      <c r="C840" s="23"/>
      <c r="D840" s="23"/>
      <c r="E840" s="23"/>
      <c r="F840" s="23"/>
    </row>
    <row r="841" spans="1:6" ht="16.5">
      <c r="A841" s="23"/>
      <c r="B841" s="23"/>
      <c r="C841" s="23"/>
      <c r="D841" s="23"/>
      <c r="E841" s="23"/>
      <c r="F841" s="23"/>
    </row>
    <row r="842" spans="1:6" ht="16.5">
      <c r="A842" s="23"/>
      <c r="B842" s="23"/>
      <c r="C842" s="23"/>
      <c r="D842" s="23"/>
      <c r="E842" s="23"/>
      <c r="F842" s="23"/>
    </row>
    <row r="843" spans="1:6" ht="16.5">
      <c r="A843" s="23"/>
      <c r="B843" s="23"/>
      <c r="C843" s="23"/>
      <c r="D843" s="23"/>
      <c r="E843" s="23"/>
      <c r="F843" s="23"/>
    </row>
    <row r="844" spans="1:6" ht="16.5">
      <c r="A844" s="23"/>
      <c r="B844" s="23"/>
      <c r="C844" s="23"/>
      <c r="D844" s="23"/>
      <c r="E844" s="23"/>
      <c r="F844" s="23"/>
    </row>
    <row r="845" spans="1:6" ht="16.5">
      <c r="A845" s="23"/>
      <c r="B845" s="23"/>
      <c r="C845" s="23"/>
      <c r="D845" s="23"/>
      <c r="E845" s="23"/>
      <c r="F845" s="23"/>
    </row>
    <row r="846" spans="1:6" ht="16.5">
      <c r="A846" s="23"/>
      <c r="B846" s="23"/>
      <c r="C846" s="23"/>
      <c r="D846" s="23"/>
      <c r="E846" s="23"/>
      <c r="F846" s="23"/>
    </row>
    <row r="847" spans="1:6" ht="16.5">
      <c r="A847" s="23"/>
      <c r="B847" s="23"/>
      <c r="C847" s="23"/>
      <c r="D847" s="23"/>
      <c r="E847" s="23"/>
      <c r="F847" s="23"/>
    </row>
    <row r="848" spans="1:6" ht="16.5">
      <c r="A848" s="23"/>
      <c r="B848" s="23"/>
      <c r="C848" s="23"/>
      <c r="D848" s="23"/>
      <c r="E848" s="23"/>
      <c r="F848" s="23"/>
    </row>
    <row r="849" spans="1:6" ht="16.5">
      <c r="A849" s="23"/>
      <c r="B849" s="23"/>
      <c r="C849" s="23"/>
      <c r="D849" s="23"/>
      <c r="E849" s="23"/>
      <c r="F849" s="23"/>
    </row>
    <row r="850" spans="1:6" ht="16.5">
      <c r="A850" s="23"/>
      <c r="B850" s="23"/>
      <c r="C850" s="23"/>
      <c r="D850" s="23"/>
      <c r="E850" s="23"/>
      <c r="F850" s="23"/>
    </row>
    <row r="851" spans="1:6" ht="16.5">
      <c r="A851" s="23"/>
      <c r="B851" s="23"/>
      <c r="C851" s="23"/>
      <c r="D851" s="23"/>
      <c r="E851" s="23"/>
      <c r="F851" s="23"/>
    </row>
    <row r="852" spans="1:6" ht="16.5">
      <c r="A852" s="23"/>
      <c r="B852" s="23"/>
      <c r="C852" s="23"/>
      <c r="D852" s="23"/>
      <c r="E852" s="23"/>
      <c r="F852" s="23"/>
    </row>
    <row r="853" spans="1:6" ht="16.5">
      <c r="A853" s="23"/>
      <c r="B853" s="23"/>
      <c r="C853" s="23"/>
      <c r="D853" s="23"/>
      <c r="E853" s="23"/>
      <c r="F853" s="23"/>
    </row>
    <row r="854" spans="1:6" ht="16.5">
      <c r="A854" s="23"/>
      <c r="B854" s="23"/>
      <c r="C854" s="23"/>
      <c r="D854" s="23"/>
      <c r="E854" s="23"/>
      <c r="F854" s="23"/>
    </row>
    <row r="855" spans="1:6" ht="16.5">
      <c r="A855" s="23"/>
      <c r="B855" s="23"/>
      <c r="C855" s="23"/>
      <c r="D855" s="23"/>
      <c r="E855" s="23"/>
      <c r="F855" s="23"/>
    </row>
    <row r="856" spans="1:6" ht="16.5">
      <c r="A856" s="23"/>
      <c r="B856" s="23"/>
      <c r="C856" s="23"/>
      <c r="D856" s="23"/>
      <c r="E856" s="23"/>
      <c r="F856" s="23"/>
    </row>
    <row r="857" spans="1:6" ht="16.5">
      <c r="A857" s="23"/>
      <c r="B857" s="23"/>
      <c r="C857" s="23"/>
      <c r="D857" s="23"/>
      <c r="E857" s="23"/>
      <c r="F857" s="23"/>
    </row>
    <row r="858" spans="1:6" ht="16.5">
      <c r="A858" s="23"/>
      <c r="B858" s="23"/>
      <c r="C858" s="23"/>
      <c r="D858" s="23"/>
      <c r="E858" s="23"/>
      <c r="F858" s="23"/>
    </row>
    <row r="859" spans="1:6" ht="16.5">
      <c r="A859" s="23"/>
      <c r="B859" s="23"/>
      <c r="C859" s="23"/>
      <c r="D859" s="23"/>
      <c r="E859" s="23"/>
      <c r="F859" s="23"/>
    </row>
    <row r="860" spans="1:6" ht="16.5">
      <c r="A860" s="23"/>
      <c r="B860" s="23"/>
      <c r="C860" s="23"/>
      <c r="D860" s="23"/>
      <c r="E860" s="23"/>
      <c r="F860" s="23"/>
    </row>
    <row r="861" spans="1:6" ht="16.5">
      <c r="A861" s="23"/>
      <c r="B861" s="23"/>
      <c r="C861" s="23"/>
      <c r="D861" s="23"/>
      <c r="E861" s="23"/>
      <c r="F861" s="23"/>
    </row>
    <row r="862" spans="1:6" ht="16.5">
      <c r="A862" s="23"/>
      <c r="B862" s="23"/>
      <c r="C862" s="23"/>
      <c r="D862" s="23"/>
      <c r="E862" s="23"/>
      <c r="F862" s="23"/>
    </row>
    <row r="863" spans="1:6" ht="16.5">
      <c r="A863" s="23"/>
      <c r="B863" s="23"/>
      <c r="C863" s="23"/>
      <c r="D863" s="23"/>
      <c r="E863" s="23"/>
      <c r="F863" s="23"/>
    </row>
    <row r="864" spans="1:6" ht="16.5">
      <c r="A864" s="23"/>
      <c r="B864" s="23"/>
      <c r="C864" s="23"/>
      <c r="D864" s="23"/>
      <c r="E864" s="23"/>
      <c r="F864" s="23"/>
    </row>
    <row r="865" spans="1:6" ht="16.5">
      <c r="A865" s="23"/>
      <c r="B865" s="23"/>
      <c r="C865" s="23"/>
      <c r="D865" s="23"/>
      <c r="E865" s="23"/>
      <c r="F865" s="23"/>
    </row>
    <row r="866" spans="1:6" ht="16.5">
      <c r="A866" s="23"/>
      <c r="B866" s="23"/>
      <c r="C866" s="23"/>
      <c r="D866" s="23"/>
      <c r="E866" s="23"/>
      <c r="F866" s="23"/>
    </row>
    <row r="867" spans="1:6" ht="16.5">
      <c r="A867" s="23"/>
      <c r="B867" s="23"/>
      <c r="C867" s="23"/>
      <c r="D867" s="23"/>
      <c r="E867" s="23"/>
      <c r="F867" s="23"/>
    </row>
    <row r="868" spans="1:6" ht="16.5">
      <c r="A868" s="23"/>
      <c r="B868" s="23"/>
      <c r="C868" s="23"/>
      <c r="D868" s="23"/>
      <c r="E868" s="23"/>
      <c r="F868" s="23"/>
    </row>
    <row r="869" spans="1:6" ht="16.5">
      <c r="A869" s="23"/>
      <c r="B869" s="23"/>
      <c r="C869" s="23"/>
      <c r="D869" s="23"/>
      <c r="E869" s="23"/>
      <c r="F869" s="23"/>
    </row>
    <row r="870" spans="1:6" ht="16.5">
      <c r="A870" s="23"/>
      <c r="B870" s="23"/>
      <c r="C870" s="23"/>
      <c r="D870" s="23"/>
      <c r="E870" s="23"/>
      <c r="F870" s="23"/>
    </row>
    <row r="871" spans="1:6" ht="16.5">
      <c r="A871" s="23"/>
      <c r="B871" s="23"/>
      <c r="C871" s="23"/>
      <c r="D871" s="23"/>
      <c r="E871" s="23"/>
      <c r="F871" s="23"/>
    </row>
    <row r="872" spans="1:6" ht="16.5">
      <c r="A872" s="23"/>
      <c r="B872" s="23"/>
      <c r="C872" s="23"/>
      <c r="D872" s="23"/>
      <c r="E872" s="23"/>
      <c r="F872" s="23"/>
    </row>
    <row r="873" spans="1:6" ht="16.5">
      <c r="A873" s="23"/>
      <c r="B873" s="23"/>
      <c r="C873" s="23"/>
      <c r="D873" s="23"/>
      <c r="E873" s="23"/>
      <c r="F873" s="23"/>
    </row>
    <row r="874" spans="1:6" ht="16.5">
      <c r="A874" s="23"/>
      <c r="B874" s="23"/>
      <c r="C874" s="23"/>
      <c r="D874" s="23"/>
      <c r="E874" s="23"/>
      <c r="F874" s="23"/>
    </row>
    <row r="875" spans="1:6" ht="16.5">
      <c r="A875" s="23"/>
      <c r="B875" s="23"/>
      <c r="C875" s="23"/>
      <c r="D875" s="23"/>
      <c r="E875" s="23"/>
      <c r="F875" s="23"/>
    </row>
    <row r="876" spans="1:6" ht="16.5">
      <c r="A876" s="23"/>
      <c r="B876" s="23"/>
      <c r="C876" s="23"/>
      <c r="D876" s="23"/>
      <c r="E876" s="23"/>
      <c r="F876" s="23"/>
    </row>
    <row r="877" spans="1:6" ht="16.5">
      <c r="A877" s="23"/>
      <c r="B877" s="23"/>
      <c r="C877" s="23"/>
      <c r="D877" s="23"/>
      <c r="E877" s="23"/>
      <c r="F877" s="23"/>
    </row>
    <row r="878" spans="1:6" ht="16.5">
      <c r="A878" s="23"/>
      <c r="B878" s="23"/>
      <c r="C878" s="23"/>
      <c r="D878" s="23"/>
      <c r="E878" s="23"/>
      <c r="F878" s="23"/>
    </row>
    <row r="879" spans="1:6" ht="16.5">
      <c r="A879" s="23"/>
      <c r="B879" s="23"/>
      <c r="C879" s="23"/>
      <c r="D879" s="23"/>
      <c r="E879" s="23"/>
      <c r="F879" s="23"/>
    </row>
    <row r="880" spans="1:6" ht="16.5">
      <c r="A880" s="23"/>
      <c r="B880" s="23"/>
      <c r="C880" s="23"/>
      <c r="D880" s="23"/>
      <c r="E880" s="23"/>
      <c r="F880" s="23"/>
    </row>
    <row r="881" spans="1:6" ht="16.5">
      <c r="A881" s="23"/>
      <c r="B881" s="23"/>
      <c r="C881" s="23"/>
      <c r="D881" s="23"/>
      <c r="E881" s="23"/>
      <c r="F881" s="23"/>
    </row>
    <row r="882" spans="1:6" ht="16.5">
      <c r="A882" s="23"/>
      <c r="B882" s="23"/>
      <c r="C882" s="23"/>
      <c r="D882" s="23"/>
      <c r="E882" s="23"/>
      <c r="F882" s="23"/>
    </row>
    <row r="883" spans="1:6" ht="16.5">
      <c r="A883" s="23"/>
      <c r="B883" s="23"/>
      <c r="C883" s="23"/>
      <c r="D883" s="23"/>
      <c r="E883" s="23"/>
      <c r="F883" s="23"/>
    </row>
    <row r="884" spans="1:6" ht="16.5">
      <c r="A884" s="23"/>
      <c r="B884" s="23"/>
      <c r="C884" s="23"/>
      <c r="D884" s="23"/>
      <c r="E884" s="23"/>
      <c r="F884" s="23"/>
    </row>
    <row r="885" spans="1:6" ht="16.5">
      <c r="A885" s="23"/>
      <c r="B885" s="23"/>
      <c r="C885" s="23"/>
      <c r="D885" s="23"/>
      <c r="E885" s="23"/>
      <c r="F885" s="23"/>
    </row>
    <row r="886" spans="1:6" ht="16.5">
      <c r="A886" s="23"/>
      <c r="B886" s="23"/>
      <c r="C886" s="23"/>
      <c r="D886" s="23"/>
      <c r="E886" s="23"/>
      <c r="F886" s="23"/>
    </row>
    <row r="887" spans="1:6" ht="16.5">
      <c r="A887" s="23"/>
      <c r="B887" s="23"/>
      <c r="C887" s="23"/>
      <c r="D887" s="23"/>
      <c r="E887" s="23"/>
      <c r="F887" s="23"/>
    </row>
    <row r="888" spans="1:6" ht="16.5">
      <c r="A888" s="23"/>
      <c r="B888" s="23"/>
      <c r="C888" s="23"/>
      <c r="D888" s="23"/>
      <c r="E888" s="23"/>
      <c r="F888" s="23"/>
    </row>
    <row r="889" spans="1:6" ht="16.5">
      <c r="A889" s="23"/>
      <c r="B889" s="23"/>
      <c r="C889" s="23"/>
      <c r="D889" s="23"/>
      <c r="E889" s="23"/>
      <c r="F889" s="23"/>
    </row>
    <row r="890" spans="1:6" ht="16.5">
      <c r="A890" s="23"/>
      <c r="B890" s="23"/>
      <c r="C890" s="23"/>
      <c r="D890" s="23"/>
      <c r="E890" s="23"/>
      <c r="F890" s="23"/>
    </row>
    <row r="891" spans="1:6" ht="16.5">
      <c r="A891" s="23"/>
      <c r="B891" s="23"/>
      <c r="C891" s="23"/>
      <c r="D891" s="23"/>
      <c r="E891" s="23"/>
      <c r="F891" s="23"/>
    </row>
    <row r="892" spans="1:6" ht="16.5">
      <c r="A892" s="23"/>
      <c r="B892" s="23"/>
      <c r="C892" s="23"/>
      <c r="D892" s="23"/>
      <c r="E892" s="23"/>
      <c r="F892" s="23"/>
    </row>
    <row r="893" spans="1:6" ht="16.5">
      <c r="A893" s="23"/>
      <c r="B893" s="23"/>
      <c r="C893" s="23"/>
      <c r="D893" s="23"/>
      <c r="E893" s="23"/>
      <c r="F893" s="23"/>
    </row>
    <row r="894" spans="1:6" ht="16.5">
      <c r="A894" s="23"/>
      <c r="B894" s="23"/>
      <c r="C894" s="23"/>
      <c r="D894" s="23"/>
      <c r="E894" s="23"/>
      <c r="F894" s="23"/>
    </row>
    <row r="895" spans="1:6" ht="16.5">
      <c r="A895" s="23"/>
      <c r="B895" s="23"/>
      <c r="C895" s="23"/>
      <c r="D895" s="23"/>
      <c r="E895" s="23"/>
      <c r="F895" s="23"/>
    </row>
    <row r="896" spans="1:6" ht="16.5">
      <c r="A896" s="23"/>
      <c r="B896" s="23"/>
      <c r="C896" s="23"/>
      <c r="D896" s="23"/>
      <c r="E896" s="23"/>
      <c r="F896" s="23"/>
    </row>
    <row r="897" spans="1:6" ht="16.5">
      <c r="A897" s="23"/>
      <c r="B897" s="23"/>
      <c r="C897" s="23"/>
      <c r="D897" s="23"/>
      <c r="E897" s="23"/>
      <c r="F897" s="23"/>
    </row>
    <row r="898" spans="1:6" ht="16.5">
      <c r="A898" s="23"/>
      <c r="B898" s="23"/>
      <c r="C898" s="23"/>
      <c r="D898" s="23"/>
      <c r="E898" s="23"/>
      <c r="F898" s="23"/>
    </row>
    <row r="899" spans="1:6" ht="16.5">
      <c r="A899" s="23"/>
      <c r="B899" s="23"/>
      <c r="C899" s="23"/>
      <c r="D899" s="23"/>
      <c r="E899" s="23"/>
      <c r="F899" s="23"/>
    </row>
    <row r="900" spans="1:6" ht="16.5">
      <c r="A900" s="23"/>
      <c r="B900" s="23"/>
      <c r="C900" s="23"/>
      <c r="D900" s="23"/>
      <c r="E900" s="23"/>
      <c r="F900" s="23"/>
    </row>
    <row r="901" spans="1:6" ht="16.5">
      <c r="A901" s="23"/>
      <c r="B901" s="23"/>
      <c r="C901" s="23"/>
      <c r="D901" s="23"/>
      <c r="E901" s="23"/>
      <c r="F901" s="23"/>
    </row>
    <row r="902" spans="1:6" ht="16.5">
      <c r="A902" s="23"/>
      <c r="B902" s="23"/>
      <c r="C902" s="23"/>
      <c r="D902" s="23"/>
      <c r="E902" s="23"/>
      <c r="F902" s="23"/>
    </row>
    <row r="903" spans="1:6" ht="16.5">
      <c r="A903" s="23"/>
      <c r="B903" s="23"/>
      <c r="C903" s="23"/>
      <c r="D903" s="23"/>
      <c r="E903" s="23"/>
      <c r="F903" s="23"/>
    </row>
    <row r="904" spans="1:6" ht="16.5">
      <c r="A904" s="23"/>
      <c r="B904" s="23"/>
      <c r="C904" s="23"/>
      <c r="D904" s="23"/>
      <c r="E904" s="23"/>
      <c r="F904" s="23"/>
    </row>
    <row r="905" spans="1:6" ht="16.5">
      <c r="A905" s="23"/>
      <c r="B905" s="23"/>
      <c r="C905" s="23"/>
      <c r="D905" s="23"/>
      <c r="E905" s="23"/>
      <c r="F905" s="23"/>
    </row>
    <row r="906" spans="1:6" ht="16.5">
      <c r="A906" s="23"/>
      <c r="B906" s="23"/>
      <c r="C906" s="23"/>
      <c r="D906" s="23"/>
      <c r="E906" s="23"/>
      <c r="F906" s="23"/>
    </row>
    <row r="907" spans="1:6" ht="16.5">
      <c r="A907" s="23"/>
      <c r="B907" s="23"/>
      <c r="C907" s="23"/>
      <c r="D907" s="23"/>
      <c r="E907" s="23"/>
      <c r="F907" s="23"/>
    </row>
    <row r="908" spans="1:6" ht="16.5">
      <c r="A908" s="23"/>
      <c r="B908" s="23"/>
      <c r="C908" s="23"/>
      <c r="D908" s="23"/>
      <c r="E908" s="23"/>
      <c r="F908" s="23"/>
    </row>
    <row r="909" spans="1:6" ht="16.5">
      <c r="A909" s="23"/>
      <c r="B909" s="23"/>
      <c r="C909" s="23"/>
      <c r="D909" s="23"/>
      <c r="E909" s="23"/>
      <c r="F909" s="23"/>
    </row>
    <row r="910" spans="1:6" ht="16.5">
      <c r="A910" s="23"/>
      <c r="B910" s="23"/>
      <c r="C910" s="23"/>
      <c r="D910" s="23"/>
      <c r="E910" s="23"/>
      <c r="F910" s="23"/>
    </row>
    <row r="911" spans="1:6" ht="16.5">
      <c r="A911" s="23"/>
      <c r="B911" s="23"/>
      <c r="C911" s="23"/>
      <c r="D911" s="23"/>
      <c r="E911" s="23"/>
      <c r="F911" s="23"/>
    </row>
    <row r="912" spans="1:6" ht="16.5">
      <c r="A912" s="23"/>
      <c r="B912" s="23"/>
      <c r="C912" s="23"/>
      <c r="D912" s="23"/>
      <c r="E912" s="23"/>
      <c r="F912" s="23"/>
    </row>
    <row r="913" spans="1:6" ht="16.5">
      <c r="A913" s="23"/>
      <c r="B913" s="23"/>
      <c r="C913" s="23"/>
      <c r="D913" s="23"/>
      <c r="E913" s="23"/>
      <c r="F913" s="23"/>
    </row>
    <row r="914" spans="1:6" ht="16.5">
      <c r="A914" s="23"/>
      <c r="B914" s="23"/>
      <c r="C914" s="23"/>
      <c r="D914" s="23"/>
      <c r="E914" s="23"/>
      <c r="F914" s="23"/>
    </row>
    <row r="915" spans="1:6" ht="16.5">
      <c r="A915" s="23"/>
      <c r="B915" s="23"/>
      <c r="C915" s="23"/>
      <c r="D915" s="23"/>
      <c r="E915" s="23"/>
      <c r="F915" s="23"/>
    </row>
    <row r="916" spans="1:6" ht="16.5">
      <c r="A916" s="23"/>
      <c r="B916" s="23"/>
      <c r="C916" s="23"/>
      <c r="D916" s="23"/>
      <c r="E916" s="23"/>
      <c r="F916" s="23"/>
    </row>
    <row r="917" spans="1:6" ht="16.5">
      <c r="A917" s="23"/>
      <c r="B917" s="23"/>
      <c r="C917" s="23"/>
      <c r="D917" s="23"/>
      <c r="E917" s="23"/>
      <c r="F917" s="23"/>
    </row>
    <row r="918" spans="1:6" ht="16.5">
      <c r="A918" s="23"/>
      <c r="B918" s="23"/>
      <c r="C918" s="23"/>
      <c r="D918" s="23"/>
      <c r="E918" s="23"/>
      <c r="F918" s="23"/>
    </row>
    <row r="919" spans="1:6" ht="16.5">
      <c r="A919" s="23"/>
      <c r="B919" s="23"/>
      <c r="C919" s="23"/>
      <c r="D919" s="23"/>
      <c r="E919" s="23"/>
      <c r="F919" s="23"/>
    </row>
    <row r="920" spans="1:6" ht="16.5">
      <c r="A920" s="23"/>
      <c r="B920" s="23"/>
      <c r="C920" s="23"/>
      <c r="D920" s="23"/>
      <c r="E920" s="23"/>
      <c r="F920" s="23"/>
    </row>
    <row r="921" spans="1:6" ht="16.5">
      <c r="A921" s="23"/>
      <c r="B921" s="23"/>
      <c r="C921" s="23"/>
      <c r="D921" s="23"/>
      <c r="E921" s="23"/>
      <c r="F921" s="23"/>
    </row>
    <row r="922" spans="1:6" ht="16.5">
      <c r="A922" s="23"/>
      <c r="B922" s="23"/>
      <c r="C922" s="23"/>
      <c r="D922" s="23"/>
      <c r="E922" s="23"/>
      <c r="F922" s="23"/>
    </row>
    <row r="923" spans="1:6" ht="16.5">
      <c r="A923" s="23"/>
      <c r="B923" s="23"/>
      <c r="C923" s="23"/>
      <c r="D923" s="23"/>
      <c r="E923" s="23"/>
      <c r="F923" s="23"/>
    </row>
    <row r="924" spans="1:6" ht="16.5">
      <c r="A924" s="23"/>
      <c r="B924" s="23"/>
      <c r="C924" s="23"/>
      <c r="D924" s="23"/>
      <c r="E924" s="23"/>
      <c r="F924" s="23"/>
    </row>
    <row r="925" spans="1:6" ht="16.5">
      <c r="A925" s="23"/>
      <c r="B925" s="23"/>
      <c r="C925" s="23"/>
      <c r="D925" s="23"/>
      <c r="E925" s="23"/>
      <c r="F925" s="23"/>
    </row>
    <row r="926" spans="1:6" ht="16.5">
      <c r="A926" s="23"/>
      <c r="B926" s="23"/>
      <c r="C926" s="23"/>
      <c r="D926" s="23"/>
      <c r="E926" s="23"/>
      <c r="F926" s="23"/>
    </row>
    <row r="927" spans="1:6" ht="16.5">
      <c r="A927" s="23"/>
      <c r="B927" s="23"/>
      <c r="C927" s="23"/>
      <c r="D927" s="23"/>
      <c r="E927" s="23"/>
      <c r="F927" s="23"/>
    </row>
    <row r="928" spans="1:6" ht="16.5">
      <c r="A928" s="23"/>
      <c r="B928" s="23"/>
      <c r="C928" s="23"/>
      <c r="D928" s="23"/>
      <c r="E928" s="23"/>
      <c r="F928" s="23"/>
    </row>
    <row r="929" spans="1:6" ht="16.5">
      <c r="A929" s="23"/>
      <c r="B929" s="23"/>
      <c r="C929" s="23"/>
      <c r="D929" s="23"/>
      <c r="E929" s="23"/>
      <c r="F929" s="23"/>
    </row>
    <row r="930" spans="1:6" ht="16.5">
      <c r="A930" s="23"/>
      <c r="B930" s="23"/>
      <c r="C930" s="23"/>
      <c r="D930" s="23"/>
      <c r="E930" s="23"/>
      <c r="F930" s="23"/>
    </row>
    <row r="931" spans="1:6" ht="16.5">
      <c r="A931" s="23"/>
      <c r="B931" s="23"/>
      <c r="C931" s="23"/>
      <c r="D931" s="23"/>
      <c r="E931" s="23"/>
      <c r="F931" s="23"/>
    </row>
    <row r="932" spans="1:6" ht="16.5">
      <c r="A932" s="23"/>
      <c r="B932" s="23"/>
      <c r="C932" s="23"/>
      <c r="D932" s="23"/>
      <c r="E932" s="23"/>
      <c r="F932" s="23"/>
    </row>
    <row r="933" spans="1:6" ht="16.5">
      <c r="A933" s="23"/>
      <c r="B933" s="23"/>
      <c r="C933" s="23"/>
      <c r="D933" s="23"/>
      <c r="E933" s="23"/>
      <c r="F933" s="23"/>
    </row>
    <row r="934" spans="1:6" ht="16.5">
      <c r="A934" s="23"/>
      <c r="B934" s="23"/>
      <c r="C934" s="23"/>
      <c r="D934" s="23"/>
      <c r="E934" s="23"/>
      <c r="F934" s="23"/>
    </row>
    <row r="935" spans="1:6" ht="16.5">
      <c r="A935" s="23"/>
      <c r="B935" s="23"/>
      <c r="C935" s="23"/>
      <c r="D935" s="23"/>
      <c r="E935" s="23"/>
      <c r="F935" s="23"/>
    </row>
    <row r="936" spans="1:6" ht="16.5">
      <c r="A936" s="23"/>
      <c r="B936" s="23"/>
      <c r="C936" s="23"/>
      <c r="D936" s="23"/>
      <c r="E936" s="23"/>
      <c r="F936" s="23"/>
    </row>
    <row r="937" spans="1:6" ht="16.5">
      <c r="A937" s="23"/>
      <c r="B937" s="23"/>
      <c r="C937" s="23"/>
      <c r="D937" s="23"/>
      <c r="E937" s="23"/>
      <c r="F937" s="23"/>
    </row>
    <row r="938" spans="1:6" ht="16.5">
      <c r="A938" s="23"/>
      <c r="B938" s="23"/>
      <c r="C938" s="23"/>
      <c r="D938" s="23"/>
      <c r="E938" s="23"/>
      <c r="F938" s="23"/>
    </row>
    <row r="939" spans="1:6" ht="16.5">
      <c r="A939" s="23"/>
      <c r="B939" s="23"/>
      <c r="C939" s="23"/>
      <c r="D939" s="23"/>
      <c r="E939" s="23"/>
      <c r="F939" s="23"/>
    </row>
    <row r="940" spans="1:6" ht="16.5">
      <c r="A940" s="23"/>
      <c r="B940" s="23"/>
      <c r="C940" s="23"/>
      <c r="D940" s="23"/>
      <c r="E940" s="23"/>
      <c r="F940" s="23"/>
    </row>
    <row r="941" spans="1:6" ht="16.5">
      <c r="A941" s="23"/>
      <c r="B941" s="23"/>
      <c r="C941" s="23"/>
      <c r="D941" s="23"/>
      <c r="E941" s="23"/>
      <c r="F941" s="23"/>
    </row>
    <row r="942" spans="1:6" ht="16.5">
      <c r="A942" s="23"/>
      <c r="B942" s="23"/>
      <c r="C942" s="23"/>
      <c r="D942" s="23"/>
      <c r="E942" s="23"/>
      <c r="F942" s="23"/>
    </row>
    <row r="943" spans="1:6" ht="16.5">
      <c r="A943" s="23"/>
      <c r="B943" s="23"/>
      <c r="C943" s="23"/>
      <c r="D943" s="23"/>
      <c r="E943" s="23"/>
      <c r="F943" s="23"/>
    </row>
    <row r="944" spans="1:6" ht="16.5">
      <c r="A944" s="23"/>
      <c r="B944" s="23"/>
      <c r="C944" s="23"/>
      <c r="D944" s="23"/>
      <c r="E944" s="23"/>
      <c r="F944" s="23"/>
    </row>
    <row r="945" spans="1:6" ht="16.5">
      <c r="A945" s="23"/>
      <c r="B945" s="23"/>
      <c r="C945" s="23"/>
      <c r="D945" s="23"/>
      <c r="E945" s="23"/>
      <c r="F945" s="23"/>
    </row>
    <row r="946" spans="1:6" ht="16.5">
      <c r="A946" s="23"/>
      <c r="B946" s="23"/>
      <c r="C946" s="23"/>
      <c r="D946" s="23"/>
      <c r="E946" s="23"/>
      <c r="F946" s="23"/>
    </row>
    <row r="947" spans="1:6" ht="16.5">
      <c r="A947" s="23"/>
      <c r="B947" s="23"/>
      <c r="C947" s="23"/>
      <c r="D947" s="23"/>
      <c r="E947" s="23"/>
      <c r="F947" s="23"/>
    </row>
    <row r="948" spans="1:6" ht="16.5">
      <c r="A948" s="23"/>
      <c r="B948" s="23"/>
      <c r="C948" s="23"/>
      <c r="D948" s="23"/>
      <c r="E948" s="23"/>
      <c r="F948" s="23"/>
    </row>
    <row r="949" spans="1:6" ht="16.5">
      <c r="A949" s="23"/>
      <c r="B949" s="23"/>
      <c r="C949" s="23"/>
      <c r="D949" s="23"/>
      <c r="E949" s="23"/>
      <c r="F949" s="23"/>
    </row>
    <row r="950" spans="1:6" ht="16.5">
      <c r="A950" s="23"/>
      <c r="B950" s="23"/>
      <c r="C950" s="23"/>
      <c r="D950" s="23"/>
      <c r="E950" s="23"/>
      <c r="F950" s="23"/>
    </row>
    <row r="951" spans="1:6" ht="16.5">
      <c r="A951" s="23"/>
      <c r="B951" s="23"/>
      <c r="C951" s="23"/>
      <c r="D951" s="23"/>
      <c r="E951" s="23"/>
      <c r="F951" s="23"/>
    </row>
    <row r="952" spans="1:6" ht="16.5">
      <c r="A952" s="23"/>
      <c r="B952" s="23"/>
      <c r="C952" s="23"/>
      <c r="D952" s="23"/>
      <c r="E952" s="23"/>
      <c r="F952" s="23"/>
    </row>
    <row r="953" spans="1:6" ht="16.5">
      <c r="A953" s="23"/>
      <c r="B953" s="23"/>
      <c r="C953" s="23"/>
      <c r="D953" s="23"/>
      <c r="E953" s="23"/>
      <c r="F953" s="23"/>
    </row>
    <row r="954" spans="1:6" ht="16.5">
      <c r="A954" s="23"/>
      <c r="B954" s="23"/>
      <c r="C954" s="23"/>
      <c r="D954" s="23"/>
      <c r="E954" s="23"/>
      <c r="F954" s="23"/>
    </row>
    <row r="955" spans="1:6" ht="16.5">
      <c r="A955" s="23"/>
      <c r="B955" s="23"/>
      <c r="C955" s="23"/>
      <c r="D955" s="23"/>
      <c r="E955" s="23"/>
      <c r="F955" s="23"/>
    </row>
    <row r="956" spans="1:6" ht="16.5">
      <c r="A956" s="23"/>
      <c r="B956" s="23"/>
      <c r="C956" s="23"/>
      <c r="D956" s="23"/>
      <c r="E956" s="23"/>
      <c r="F956" s="23"/>
    </row>
    <row r="957" spans="1:6" ht="16.5">
      <c r="A957" s="23"/>
      <c r="B957" s="23"/>
      <c r="C957" s="23"/>
      <c r="D957" s="23"/>
      <c r="E957" s="23"/>
      <c r="F957" s="23"/>
    </row>
    <row r="958" spans="1:6" ht="16.5">
      <c r="A958" s="23"/>
      <c r="B958" s="23"/>
      <c r="C958" s="23"/>
      <c r="D958" s="23"/>
      <c r="E958" s="23"/>
      <c r="F958" s="23"/>
    </row>
    <row r="959" spans="1:6" ht="16.5">
      <c r="A959" s="23"/>
      <c r="B959" s="23"/>
      <c r="C959" s="23"/>
      <c r="D959" s="23"/>
      <c r="E959" s="23"/>
      <c r="F959" s="23"/>
    </row>
    <row r="960" spans="1:6" ht="16.5">
      <c r="A960" s="23"/>
      <c r="B960" s="23"/>
      <c r="C960" s="23"/>
      <c r="D960" s="23"/>
      <c r="E960" s="23"/>
      <c r="F960" s="23"/>
    </row>
    <row r="961" spans="1:6" ht="16.5">
      <c r="A961" s="23"/>
      <c r="B961" s="23"/>
      <c r="C961" s="23"/>
      <c r="D961" s="23"/>
      <c r="E961" s="23"/>
      <c r="F961" s="23"/>
    </row>
    <row r="962" spans="1:6" ht="16.5">
      <c r="A962" s="23"/>
      <c r="B962" s="23"/>
      <c r="C962" s="23"/>
      <c r="D962" s="23"/>
      <c r="E962" s="23"/>
      <c r="F962" s="23"/>
    </row>
    <row r="963" spans="1:6" ht="16.5">
      <c r="A963" s="23"/>
      <c r="B963" s="23"/>
      <c r="C963" s="23"/>
      <c r="D963" s="23"/>
      <c r="E963" s="23"/>
      <c r="F963" s="23"/>
    </row>
    <row r="964" spans="1:6" ht="16.5">
      <c r="A964" s="23"/>
      <c r="B964" s="23"/>
      <c r="C964" s="23"/>
      <c r="D964" s="23"/>
      <c r="E964" s="23"/>
      <c r="F964" s="23"/>
    </row>
    <row r="965" spans="1:6" ht="16.5">
      <c r="A965" s="23"/>
      <c r="B965" s="23"/>
      <c r="C965" s="23"/>
      <c r="D965" s="23"/>
      <c r="E965" s="23"/>
      <c r="F965" s="23"/>
    </row>
    <row r="966" spans="1:6" ht="16.5">
      <c r="A966" s="23"/>
      <c r="B966" s="23"/>
      <c r="C966" s="23"/>
      <c r="D966" s="23"/>
      <c r="E966" s="23"/>
      <c r="F966" s="23"/>
    </row>
    <row r="967" spans="1:6" ht="16.5">
      <c r="A967" s="23"/>
      <c r="B967" s="23"/>
      <c r="C967" s="23"/>
      <c r="D967" s="23"/>
      <c r="E967" s="23"/>
      <c r="F967" s="23"/>
    </row>
    <row r="968" spans="1:6" ht="16.5">
      <c r="A968" s="23"/>
      <c r="B968" s="23"/>
      <c r="C968" s="23"/>
      <c r="D968" s="23"/>
      <c r="E968" s="23"/>
      <c r="F968" s="23"/>
    </row>
    <row r="969" spans="1:6" ht="16.5">
      <c r="A969" s="23"/>
      <c r="B969" s="23"/>
      <c r="C969" s="23"/>
      <c r="D969" s="23"/>
      <c r="E969" s="23"/>
      <c r="F969" s="23"/>
    </row>
    <row r="970" spans="1:6" ht="16.5">
      <c r="A970" s="23"/>
      <c r="B970" s="23"/>
      <c r="C970" s="23"/>
      <c r="D970" s="23"/>
      <c r="E970" s="23"/>
      <c r="F970" s="23"/>
    </row>
    <row r="971" spans="1:6" ht="16.5">
      <c r="A971" s="23"/>
      <c r="B971" s="23"/>
      <c r="C971" s="23"/>
      <c r="D971" s="23"/>
      <c r="E971" s="23"/>
      <c r="F971" s="23"/>
    </row>
    <row r="972" spans="1:6" ht="16.5">
      <c r="A972" s="23"/>
      <c r="B972" s="23"/>
      <c r="C972" s="23"/>
      <c r="D972" s="23"/>
      <c r="E972" s="23"/>
      <c r="F972" s="23"/>
    </row>
    <row r="973" spans="1:6" ht="16.5">
      <c r="A973" s="23"/>
      <c r="B973" s="23"/>
      <c r="C973" s="23"/>
      <c r="D973" s="23"/>
      <c r="E973" s="23"/>
      <c r="F973" s="23"/>
    </row>
    <row r="974" spans="1:6" ht="16.5">
      <c r="A974" s="23"/>
      <c r="B974" s="23"/>
      <c r="C974" s="23"/>
      <c r="D974" s="23"/>
      <c r="E974" s="23"/>
      <c r="F974" s="23"/>
    </row>
    <row r="975" spans="1:6" ht="16.5">
      <c r="A975" s="23"/>
      <c r="B975" s="23"/>
      <c r="C975" s="23"/>
      <c r="D975" s="23"/>
      <c r="E975" s="23"/>
      <c r="F975" s="23"/>
    </row>
    <row r="976" spans="1:6" ht="16.5">
      <c r="A976" s="23"/>
      <c r="B976" s="23"/>
      <c r="C976" s="23"/>
      <c r="D976" s="23"/>
      <c r="E976" s="23"/>
      <c r="F976" s="23"/>
    </row>
    <row r="977" spans="1:6" ht="16.5">
      <c r="A977" s="23"/>
      <c r="B977" s="23"/>
      <c r="C977" s="23"/>
      <c r="D977" s="23"/>
      <c r="E977" s="23"/>
      <c r="F977" s="23"/>
    </row>
    <row r="978" spans="1:6" ht="16.5">
      <c r="A978" s="23"/>
      <c r="B978" s="23"/>
      <c r="C978" s="23"/>
      <c r="D978" s="23"/>
      <c r="E978" s="23"/>
      <c r="F978" s="23"/>
    </row>
    <row r="979" spans="1:6" ht="16.5">
      <c r="A979" s="23"/>
      <c r="B979" s="23"/>
      <c r="C979" s="23"/>
      <c r="D979" s="23"/>
      <c r="E979" s="23"/>
      <c r="F979" s="23"/>
    </row>
    <row r="980" spans="1:6" ht="16.5">
      <c r="A980" s="23"/>
      <c r="B980" s="23"/>
      <c r="C980" s="23"/>
      <c r="D980" s="23"/>
      <c r="E980" s="23"/>
      <c r="F980" s="23"/>
    </row>
    <row r="981" spans="1:6" ht="16.5">
      <c r="A981" s="23"/>
      <c r="B981" s="23"/>
      <c r="C981" s="23"/>
      <c r="D981" s="23"/>
      <c r="E981" s="23"/>
      <c r="F981" s="23"/>
    </row>
    <row r="982" spans="1:6" ht="16.5">
      <c r="A982" s="23"/>
      <c r="B982" s="23"/>
      <c r="C982" s="23"/>
      <c r="D982" s="23"/>
      <c r="E982" s="23"/>
      <c r="F982" s="23"/>
    </row>
    <row r="983" spans="1:6" ht="16.5">
      <c r="A983" s="23"/>
      <c r="B983" s="23"/>
      <c r="C983" s="23"/>
      <c r="D983" s="23"/>
      <c r="E983" s="23"/>
      <c r="F983" s="23"/>
    </row>
    <row r="984" spans="1:6" ht="16.5">
      <c r="A984" s="23"/>
      <c r="B984" s="23"/>
      <c r="C984" s="23"/>
      <c r="D984" s="23"/>
      <c r="E984" s="23"/>
      <c r="F984" s="23"/>
    </row>
    <row r="985" spans="1:6" ht="16.5">
      <c r="A985" s="23"/>
      <c r="B985" s="23"/>
      <c r="C985" s="23"/>
      <c r="D985" s="23"/>
      <c r="E985" s="23"/>
      <c r="F985" s="23"/>
    </row>
    <row r="986" spans="1:6" ht="16.5">
      <c r="A986" s="23"/>
      <c r="B986" s="23"/>
      <c r="C986" s="23"/>
      <c r="D986" s="23"/>
      <c r="E986" s="23"/>
      <c r="F986" s="23"/>
    </row>
    <row r="987" spans="1:6" ht="16.5">
      <c r="A987" s="23"/>
      <c r="B987" s="23"/>
      <c r="C987" s="23"/>
      <c r="D987" s="23"/>
      <c r="E987" s="23"/>
      <c r="F987" s="23"/>
    </row>
    <row r="988" spans="1:6" ht="16.5">
      <c r="A988" s="23"/>
      <c r="B988" s="23"/>
      <c r="C988" s="23"/>
      <c r="D988" s="23"/>
      <c r="E988" s="23"/>
      <c r="F988" s="23"/>
    </row>
    <row r="989" spans="1:6" ht="16.5">
      <c r="A989" s="23"/>
      <c r="B989" s="23"/>
      <c r="C989" s="23"/>
      <c r="D989" s="23"/>
      <c r="E989" s="23"/>
      <c r="F989" s="23"/>
    </row>
    <row r="990" spans="1:6" ht="16.5">
      <c r="A990" s="23"/>
      <c r="B990" s="23"/>
      <c r="C990" s="23"/>
      <c r="D990" s="23"/>
      <c r="E990" s="23"/>
      <c r="F990" s="23"/>
    </row>
    <row r="991" spans="1:6" ht="16.5">
      <c r="A991" s="23"/>
      <c r="B991" s="23"/>
      <c r="C991" s="23"/>
      <c r="D991" s="23"/>
      <c r="E991" s="23"/>
      <c r="F991" s="23"/>
    </row>
    <row r="992" spans="1:6" ht="16.5">
      <c r="A992" s="23"/>
      <c r="B992" s="23"/>
      <c r="C992" s="23"/>
      <c r="D992" s="23"/>
      <c r="E992" s="23"/>
      <c r="F992" s="23"/>
    </row>
    <row r="993" spans="1:6" ht="16.5">
      <c r="A993" s="23"/>
      <c r="B993" s="23"/>
      <c r="C993" s="23"/>
      <c r="D993" s="23"/>
      <c r="E993" s="23"/>
      <c r="F993" s="23"/>
    </row>
    <row r="994" spans="1:6" ht="16.5">
      <c r="A994" s="23"/>
      <c r="B994" s="23"/>
      <c r="C994" s="23"/>
      <c r="D994" s="23"/>
      <c r="E994" s="23"/>
      <c r="F994" s="23"/>
    </row>
    <row r="995" spans="1:6" ht="16.5">
      <c r="A995" s="23"/>
      <c r="B995" s="23"/>
      <c r="C995" s="23"/>
      <c r="D995" s="23"/>
      <c r="E995" s="23"/>
      <c r="F995" s="23"/>
    </row>
    <row r="996" spans="1:6" ht="16.5">
      <c r="A996" s="23"/>
      <c r="B996" s="23"/>
      <c r="C996" s="23"/>
      <c r="D996" s="23"/>
      <c r="E996" s="23"/>
      <c r="F996" s="23"/>
    </row>
    <row r="997" spans="1:6" ht="16.5">
      <c r="A997" s="23"/>
      <c r="B997" s="23"/>
      <c r="C997" s="23"/>
      <c r="D997" s="23"/>
      <c r="E997" s="23"/>
      <c r="F997" s="23"/>
    </row>
    <row r="998" spans="1:6" ht="16.5">
      <c r="A998" s="23"/>
      <c r="B998" s="23"/>
      <c r="C998" s="23"/>
      <c r="D998" s="23"/>
      <c r="E998" s="23"/>
      <c r="F998" s="23"/>
    </row>
    <row r="999" spans="1:6" ht="16.5">
      <c r="A999" s="23"/>
      <c r="B999" s="23"/>
      <c r="C999" s="23"/>
      <c r="D999" s="23"/>
      <c r="E999" s="23"/>
      <c r="F999" s="23"/>
    </row>
    <row r="1000" spans="1:6" ht="16.5">
      <c r="A1000" s="23"/>
      <c r="B1000" s="23"/>
      <c r="C1000" s="23"/>
      <c r="D1000" s="23"/>
      <c r="E1000" s="23"/>
      <c r="F1000" s="23"/>
    </row>
    <row r="1001" spans="1:6" ht="16.5">
      <c r="A1001" s="23"/>
      <c r="B1001" s="23"/>
      <c r="C1001" s="23"/>
      <c r="D1001" s="23"/>
      <c r="E1001" s="23"/>
      <c r="F1001" s="23"/>
    </row>
    <row r="1002" spans="1:6" ht="16.5">
      <c r="A1002" s="23"/>
      <c r="B1002" s="23"/>
      <c r="C1002" s="23"/>
      <c r="D1002" s="23"/>
      <c r="E1002" s="23"/>
      <c r="F1002" s="23"/>
    </row>
    <row r="1003" spans="1:6" ht="16.5">
      <c r="A1003" s="23"/>
      <c r="B1003" s="23"/>
      <c r="C1003" s="23"/>
      <c r="D1003" s="23"/>
      <c r="E1003" s="23"/>
      <c r="F1003" s="23"/>
    </row>
    <row r="1004" spans="1:6" ht="16.5">
      <c r="A1004" s="23"/>
      <c r="B1004" s="23"/>
      <c r="C1004" s="23"/>
      <c r="D1004" s="23"/>
      <c r="E1004" s="23"/>
      <c r="F1004" s="23"/>
    </row>
    <row r="1005" spans="1:6" ht="16.5">
      <c r="A1005" s="23"/>
      <c r="B1005" s="23"/>
      <c r="C1005" s="23"/>
      <c r="D1005" s="23"/>
      <c r="E1005" s="23"/>
      <c r="F1005" s="23"/>
    </row>
    <row r="1006" spans="1:6" ht="16.5">
      <c r="A1006" s="23"/>
      <c r="B1006" s="23"/>
      <c r="C1006" s="23"/>
      <c r="D1006" s="23"/>
      <c r="E1006" s="23"/>
      <c r="F1006" s="23"/>
    </row>
    <row r="1007" spans="1:6" ht="16.5">
      <c r="A1007" s="23"/>
      <c r="B1007" s="23"/>
      <c r="C1007" s="23"/>
      <c r="D1007" s="23"/>
      <c r="E1007" s="23"/>
      <c r="F1007" s="23"/>
    </row>
    <row r="1008" spans="1:6" ht="16.5">
      <c r="A1008" s="23"/>
      <c r="B1008" s="23"/>
      <c r="C1008" s="23"/>
      <c r="D1008" s="23"/>
      <c r="E1008" s="23"/>
      <c r="F1008" s="23"/>
    </row>
    <row r="1009" spans="1:6" ht="16.5">
      <c r="A1009" s="23"/>
      <c r="B1009" s="23"/>
      <c r="C1009" s="23"/>
      <c r="D1009" s="23"/>
      <c r="E1009" s="23"/>
      <c r="F1009" s="23"/>
    </row>
    <row r="1010" spans="1:6" ht="16.5">
      <c r="A1010" s="23"/>
      <c r="B1010" s="23"/>
      <c r="C1010" s="23"/>
      <c r="D1010" s="23"/>
      <c r="E1010" s="23"/>
      <c r="F1010" s="23"/>
    </row>
    <row r="1011" spans="1:6" ht="16.5">
      <c r="A1011" s="23"/>
      <c r="B1011" s="23"/>
      <c r="C1011" s="23"/>
      <c r="D1011" s="23"/>
      <c r="E1011" s="23"/>
      <c r="F1011" s="23"/>
    </row>
    <row r="1012" spans="1:6" ht="16.5">
      <c r="A1012" s="23"/>
      <c r="B1012" s="23"/>
      <c r="C1012" s="23"/>
      <c r="D1012" s="23"/>
      <c r="E1012" s="23"/>
      <c r="F1012" s="23"/>
    </row>
    <row r="1013" spans="1:6" ht="16.5">
      <c r="A1013" s="23"/>
      <c r="B1013" s="23"/>
      <c r="C1013" s="23"/>
      <c r="D1013" s="23"/>
      <c r="E1013" s="23"/>
      <c r="F1013" s="23"/>
    </row>
    <row r="1014" spans="1:6" ht="16.5">
      <c r="A1014" s="23"/>
      <c r="B1014" s="23"/>
      <c r="C1014" s="23"/>
      <c r="D1014" s="23"/>
      <c r="E1014" s="23"/>
      <c r="F1014" s="23"/>
    </row>
    <row r="1015" spans="1:6" ht="16.5">
      <c r="A1015" s="23"/>
      <c r="B1015" s="23"/>
      <c r="C1015" s="23"/>
      <c r="D1015" s="23"/>
      <c r="E1015" s="23"/>
      <c r="F1015" s="23"/>
    </row>
    <row r="1016" spans="1:6" ht="16.5">
      <c r="A1016" s="23"/>
      <c r="B1016" s="23"/>
      <c r="C1016" s="23"/>
      <c r="D1016" s="23"/>
      <c r="E1016" s="23"/>
      <c r="F1016" s="23"/>
    </row>
    <row r="1017" spans="1:6" ht="16.5">
      <c r="A1017" s="23"/>
      <c r="B1017" s="23"/>
      <c r="C1017" s="23"/>
      <c r="D1017" s="23"/>
      <c r="E1017" s="23"/>
      <c r="F1017" s="23"/>
    </row>
    <row r="1018" spans="1:6" ht="16.5">
      <c r="A1018" s="23"/>
      <c r="B1018" s="23"/>
      <c r="C1018" s="23"/>
      <c r="D1018" s="23"/>
      <c r="E1018" s="23"/>
      <c r="F1018" s="23"/>
    </row>
    <row r="1019" spans="1:6" ht="16.5">
      <c r="A1019" s="23"/>
      <c r="B1019" s="23"/>
      <c r="C1019" s="23"/>
      <c r="D1019" s="23"/>
      <c r="E1019" s="23"/>
      <c r="F1019" s="23"/>
    </row>
    <row r="1020" spans="1:6" ht="16.5">
      <c r="A1020" s="23"/>
      <c r="B1020" s="23"/>
      <c r="C1020" s="23"/>
      <c r="D1020" s="23"/>
      <c r="E1020" s="23"/>
      <c r="F1020" s="23"/>
    </row>
    <row r="1021" spans="1:6" ht="16.5">
      <c r="A1021" s="23"/>
      <c r="B1021" s="23"/>
      <c r="C1021" s="23"/>
      <c r="D1021" s="23"/>
      <c r="E1021" s="23"/>
      <c r="F1021" s="23"/>
    </row>
    <row r="1022" spans="1:6" ht="16.5">
      <c r="A1022" s="23"/>
      <c r="B1022" s="23"/>
      <c r="C1022" s="23"/>
      <c r="D1022" s="23"/>
      <c r="E1022" s="23"/>
      <c r="F1022" s="23"/>
    </row>
    <row r="1023" spans="1:6" ht="16.5">
      <c r="A1023" s="23"/>
      <c r="B1023" s="23"/>
      <c r="C1023" s="23"/>
      <c r="D1023" s="23"/>
      <c r="E1023" s="23"/>
      <c r="F1023" s="23"/>
    </row>
    <row r="1024" spans="1:6" ht="16.5">
      <c r="A1024" s="23"/>
      <c r="B1024" s="23"/>
      <c r="C1024" s="23"/>
      <c r="D1024" s="23"/>
      <c r="E1024" s="23"/>
      <c r="F1024" s="23"/>
    </row>
    <row r="1025" spans="1:6" ht="16.5">
      <c r="A1025" s="23"/>
      <c r="B1025" s="23"/>
      <c r="C1025" s="23"/>
      <c r="D1025" s="23"/>
      <c r="E1025" s="23"/>
      <c r="F1025" s="23"/>
    </row>
    <row r="1026" spans="1:6" ht="16.5">
      <c r="A1026" s="23"/>
      <c r="B1026" s="23"/>
      <c r="C1026" s="23"/>
      <c r="D1026" s="23"/>
      <c r="E1026" s="23"/>
      <c r="F1026" s="23"/>
    </row>
    <row r="1027" spans="1:6" ht="16.5">
      <c r="A1027" s="23"/>
      <c r="B1027" s="23"/>
      <c r="C1027" s="23"/>
      <c r="D1027" s="23"/>
      <c r="E1027" s="23"/>
      <c r="F1027" s="23"/>
    </row>
    <row r="1028" spans="1:6" ht="16.5">
      <c r="A1028" s="23"/>
      <c r="B1028" s="23"/>
      <c r="C1028" s="23"/>
      <c r="D1028" s="23"/>
      <c r="E1028" s="23"/>
      <c r="F1028" s="23"/>
    </row>
    <row r="1029" spans="1:6" ht="16.5">
      <c r="A1029" s="23"/>
      <c r="B1029" s="23"/>
      <c r="C1029" s="23"/>
      <c r="D1029" s="23"/>
      <c r="E1029" s="23"/>
      <c r="F1029" s="23"/>
    </row>
    <row r="1030" spans="1:6" ht="16.5">
      <c r="A1030" s="23"/>
      <c r="B1030" s="23"/>
      <c r="C1030" s="23"/>
      <c r="D1030" s="23"/>
      <c r="E1030" s="23"/>
      <c r="F1030" s="23"/>
    </row>
    <row r="1031" spans="1:6" ht="16.5">
      <c r="A1031" s="23"/>
      <c r="B1031" s="23"/>
      <c r="C1031" s="23"/>
      <c r="D1031" s="23"/>
      <c r="E1031" s="23"/>
      <c r="F1031" s="23"/>
    </row>
    <row r="1032" spans="1:6" ht="16.5">
      <c r="A1032" s="23"/>
      <c r="B1032" s="23"/>
      <c r="C1032" s="23"/>
      <c r="D1032" s="23"/>
      <c r="E1032" s="23"/>
      <c r="F1032" s="23"/>
    </row>
    <row r="1033" spans="1:6" ht="16.5">
      <c r="A1033" s="23"/>
      <c r="B1033" s="23"/>
      <c r="C1033" s="23"/>
      <c r="D1033" s="23"/>
      <c r="E1033" s="23"/>
      <c r="F1033" s="23"/>
    </row>
    <row r="1034" spans="1:6" ht="16.5">
      <c r="A1034" s="23"/>
      <c r="B1034" s="23"/>
      <c r="C1034" s="23"/>
      <c r="D1034" s="23"/>
      <c r="E1034" s="23"/>
      <c r="F1034" s="23"/>
    </row>
    <row r="1035" spans="1:6" ht="16.5">
      <c r="A1035" s="23"/>
      <c r="B1035" s="23"/>
      <c r="C1035" s="23"/>
      <c r="D1035" s="23"/>
      <c r="E1035" s="23"/>
      <c r="F1035" s="23"/>
    </row>
    <row r="1036" spans="1:6" ht="16.5">
      <c r="A1036" s="23"/>
      <c r="B1036" s="23"/>
      <c r="C1036" s="23"/>
      <c r="D1036" s="23"/>
      <c r="E1036" s="23"/>
      <c r="F1036" s="23"/>
    </row>
    <row r="1037" spans="1:6" ht="16.5">
      <c r="A1037" s="23"/>
      <c r="B1037" s="23"/>
      <c r="C1037" s="23"/>
      <c r="D1037" s="23"/>
      <c r="E1037" s="23"/>
      <c r="F1037" s="23"/>
    </row>
    <row r="1038" spans="1:6" ht="16.5">
      <c r="A1038" s="23"/>
      <c r="B1038" s="23"/>
      <c r="C1038" s="23"/>
      <c r="D1038" s="23"/>
      <c r="E1038" s="23"/>
      <c r="F1038" s="23"/>
    </row>
    <row r="1039" spans="1:6" ht="16.5">
      <c r="A1039" s="23"/>
      <c r="B1039" s="23"/>
      <c r="C1039" s="23"/>
      <c r="D1039" s="23"/>
      <c r="E1039" s="23"/>
      <c r="F1039" s="23"/>
    </row>
    <row r="1040" spans="1:6" ht="16.5">
      <c r="A1040" s="23"/>
      <c r="B1040" s="23"/>
      <c r="C1040" s="23"/>
      <c r="D1040" s="23"/>
      <c r="E1040" s="23"/>
      <c r="F1040" s="23"/>
    </row>
    <row r="1041" spans="1:6" ht="16.5">
      <c r="A1041" s="23"/>
      <c r="B1041" s="23"/>
      <c r="C1041" s="23"/>
      <c r="D1041" s="23"/>
      <c r="E1041" s="23"/>
      <c r="F1041" s="23"/>
    </row>
    <row r="1042" spans="1:6" ht="16.5">
      <c r="A1042" s="23"/>
      <c r="B1042" s="23"/>
      <c r="C1042" s="23"/>
      <c r="D1042" s="23"/>
      <c r="E1042" s="23"/>
      <c r="F1042" s="23"/>
    </row>
    <row r="1043" spans="1:6" ht="16.5">
      <c r="A1043" s="23"/>
      <c r="B1043" s="23"/>
      <c r="C1043" s="23"/>
      <c r="D1043" s="23"/>
      <c r="E1043" s="23"/>
      <c r="F1043" s="23"/>
    </row>
    <row r="1044" spans="1:6" ht="16.5">
      <c r="A1044" s="23"/>
      <c r="B1044" s="23"/>
      <c r="C1044" s="23"/>
      <c r="D1044" s="23"/>
      <c r="E1044" s="23"/>
      <c r="F1044" s="23"/>
    </row>
    <row r="1045" spans="1:6" ht="16.5">
      <c r="A1045" s="23"/>
      <c r="B1045" s="23"/>
      <c r="C1045" s="23"/>
      <c r="D1045" s="23"/>
      <c r="E1045" s="23"/>
      <c r="F1045" s="23"/>
    </row>
    <row r="1046" spans="1:6" ht="16.5">
      <c r="A1046" s="23"/>
      <c r="B1046" s="23"/>
      <c r="C1046" s="23"/>
      <c r="D1046" s="23"/>
      <c r="E1046" s="23"/>
      <c r="F1046" s="23"/>
    </row>
    <row r="1047" spans="1:6" ht="16.5">
      <c r="A1047" s="23"/>
      <c r="B1047" s="23"/>
      <c r="C1047" s="23"/>
      <c r="D1047" s="23"/>
      <c r="E1047" s="23"/>
      <c r="F1047" s="23"/>
    </row>
    <row r="1048" spans="1:6" ht="16.5">
      <c r="A1048" s="23"/>
      <c r="B1048" s="23"/>
      <c r="C1048" s="23"/>
      <c r="D1048" s="23"/>
      <c r="E1048" s="23"/>
      <c r="F1048" s="23"/>
    </row>
    <row r="1049" spans="1:6" ht="16.5">
      <c r="A1049" s="23"/>
      <c r="B1049" s="23"/>
      <c r="C1049" s="23"/>
      <c r="D1049" s="23"/>
      <c r="E1049" s="23"/>
      <c r="F1049" s="23"/>
    </row>
    <row r="1050" spans="1:6" ht="16.5">
      <c r="A1050" s="23"/>
      <c r="B1050" s="23"/>
      <c r="C1050" s="23"/>
      <c r="D1050" s="23"/>
      <c r="E1050" s="23"/>
      <c r="F1050" s="23"/>
    </row>
    <row r="1051" spans="1:6" ht="16.5">
      <c r="A1051" s="23"/>
      <c r="B1051" s="23"/>
      <c r="C1051" s="23"/>
      <c r="D1051" s="23"/>
      <c r="E1051" s="23"/>
      <c r="F1051" s="23"/>
    </row>
    <row r="1052" spans="1:6" ht="16.5">
      <c r="A1052" s="23"/>
      <c r="B1052" s="23"/>
      <c r="C1052" s="23"/>
      <c r="D1052" s="23"/>
      <c r="E1052" s="23"/>
      <c r="F1052" s="23"/>
    </row>
    <row r="1053" spans="1:6" ht="16.5">
      <c r="A1053" s="23"/>
      <c r="B1053" s="23"/>
      <c r="C1053" s="23"/>
      <c r="D1053" s="23"/>
      <c r="E1053" s="23"/>
      <c r="F1053" s="23"/>
    </row>
    <row r="1054" spans="1:6" ht="16.5">
      <c r="A1054" s="23"/>
      <c r="B1054" s="23"/>
      <c r="C1054" s="23"/>
      <c r="D1054" s="23"/>
      <c r="E1054" s="23"/>
      <c r="F1054" s="23"/>
    </row>
    <row r="1055" spans="1:6" ht="16.5">
      <c r="A1055" s="23"/>
      <c r="B1055" s="23"/>
      <c r="C1055" s="23"/>
      <c r="D1055" s="23"/>
      <c r="E1055" s="23"/>
      <c r="F1055" s="23"/>
    </row>
    <row r="1056" spans="1:6" ht="16.5">
      <c r="A1056" s="23"/>
      <c r="B1056" s="23"/>
      <c r="C1056" s="23"/>
      <c r="D1056" s="23"/>
      <c r="E1056" s="23"/>
      <c r="F1056" s="23"/>
    </row>
    <row r="1057" spans="1:6" ht="16.5">
      <c r="A1057" s="23"/>
      <c r="B1057" s="23"/>
      <c r="C1057" s="23"/>
      <c r="D1057" s="23"/>
      <c r="E1057" s="23"/>
      <c r="F1057" s="23"/>
    </row>
    <row r="1058" spans="1:6" ht="16.5">
      <c r="A1058" s="23"/>
      <c r="B1058" s="23"/>
      <c r="C1058" s="23"/>
      <c r="D1058" s="23"/>
      <c r="E1058" s="23"/>
      <c r="F1058" s="23"/>
    </row>
    <row r="1059" spans="1:6" ht="16.5">
      <c r="A1059" s="23"/>
      <c r="B1059" s="23"/>
      <c r="C1059" s="23"/>
      <c r="D1059" s="23"/>
      <c r="E1059" s="23"/>
      <c r="F1059" s="23"/>
    </row>
    <row r="1060" spans="1:6" ht="16.5">
      <c r="A1060" s="23"/>
      <c r="B1060" s="23"/>
      <c r="C1060" s="23"/>
      <c r="D1060" s="23"/>
      <c r="E1060" s="23"/>
      <c r="F1060" s="23"/>
    </row>
    <row r="1061" spans="1:6" ht="16.5">
      <c r="A1061" s="23"/>
      <c r="B1061" s="23"/>
      <c r="C1061" s="23"/>
      <c r="D1061" s="23"/>
      <c r="E1061" s="23"/>
      <c r="F1061" s="23"/>
    </row>
    <row r="1062" spans="1:6" ht="16.5">
      <c r="A1062" s="23"/>
      <c r="B1062" s="23"/>
      <c r="C1062" s="23"/>
      <c r="D1062" s="23"/>
      <c r="E1062" s="23"/>
      <c r="F1062" s="23"/>
    </row>
    <row r="1063" spans="1:6" ht="16.5">
      <c r="A1063" s="23"/>
      <c r="B1063" s="23"/>
      <c r="C1063" s="23"/>
      <c r="D1063" s="23"/>
      <c r="E1063" s="23"/>
      <c r="F1063" s="23"/>
    </row>
    <row r="1064" spans="1:6" ht="16.5">
      <c r="A1064" s="23"/>
      <c r="B1064" s="23"/>
      <c r="C1064" s="23"/>
      <c r="D1064" s="23"/>
      <c r="E1064" s="23"/>
      <c r="F1064" s="23"/>
    </row>
    <row r="1065" spans="1:6" ht="16.5">
      <c r="A1065" s="23"/>
      <c r="B1065" s="23"/>
      <c r="C1065" s="23"/>
      <c r="D1065" s="23"/>
      <c r="E1065" s="23"/>
      <c r="F1065" s="23"/>
    </row>
    <row r="1066" spans="1:6" ht="16.5">
      <c r="A1066" s="23"/>
      <c r="B1066" s="23"/>
      <c r="C1066" s="23"/>
      <c r="D1066" s="23"/>
      <c r="E1066" s="23"/>
      <c r="F1066" s="23"/>
    </row>
    <row r="1067" spans="1:6" ht="16.5">
      <c r="A1067" s="23"/>
      <c r="B1067" s="23"/>
      <c r="C1067" s="23"/>
      <c r="D1067" s="23"/>
      <c r="E1067" s="23"/>
      <c r="F1067" s="23"/>
    </row>
    <row r="1068" spans="1:6" ht="16.5">
      <c r="A1068" s="23"/>
      <c r="B1068" s="23"/>
      <c r="C1068" s="23"/>
      <c r="D1068" s="23"/>
      <c r="E1068" s="23"/>
      <c r="F1068" s="23"/>
    </row>
    <row r="1069" spans="1:6" ht="16.5">
      <c r="A1069" s="23"/>
      <c r="B1069" s="23"/>
      <c r="C1069" s="23"/>
      <c r="D1069" s="23"/>
      <c r="E1069" s="23"/>
      <c r="F1069" s="23"/>
    </row>
    <row r="1070" spans="1:6" ht="16.5">
      <c r="A1070" s="23"/>
      <c r="B1070" s="23"/>
      <c r="C1070" s="23"/>
      <c r="D1070" s="23"/>
      <c r="E1070" s="23"/>
      <c r="F1070" s="23"/>
    </row>
    <row r="1071" spans="1:6" ht="16.5">
      <c r="A1071" s="23"/>
      <c r="B1071" s="23"/>
      <c r="C1071" s="23"/>
      <c r="D1071" s="23"/>
      <c r="E1071" s="23"/>
      <c r="F1071" s="23"/>
    </row>
    <row r="1072" spans="1:6" ht="16.5">
      <c r="A1072" s="23"/>
      <c r="B1072" s="23"/>
      <c r="C1072" s="23"/>
      <c r="D1072" s="23"/>
      <c r="E1072" s="23"/>
      <c r="F1072" s="23"/>
    </row>
    <row r="1073" spans="1:6" ht="16.5">
      <c r="A1073" s="23"/>
      <c r="B1073" s="23"/>
      <c r="C1073" s="23"/>
      <c r="D1073" s="23"/>
      <c r="E1073" s="23"/>
      <c r="F1073" s="23"/>
    </row>
    <row r="1074" spans="1:6" ht="16.5">
      <c r="A1074" s="23"/>
      <c r="B1074" s="23"/>
      <c r="C1074" s="23"/>
      <c r="D1074" s="23"/>
      <c r="E1074" s="23"/>
      <c r="F1074" s="23"/>
    </row>
    <row r="1075" spans="1:6" ht="16.5">
      <c r="A1075" s="23"/>
      <c r="B1075" s="23"/>
      <c r="C1075" s="23"/>
      <c r="D1075" s="23"/>
      <c r="E1075" s="23"/>
      <c r="F1075" s="23"/>
    </row>
    <row r="1076" spans="1:6" ht="16.5">
      <c r="A1076" s="23"/>
      <c r="B1076" s="23"/>
      <c r="C1076" s="23"/>
      <c r="D1076" s="23"/>
      <c r="E1076" s="23"/>
      <c r="F1076" s="23"/>
    </row>
    <row r="1077" spans="1:6" ht="16.5">
      <c r="A1077" s="23"/>
      <c r="B1077" s="23"/>
      <c r="C1077" s="23"/>
      <c r="D1077" s="23"/>
      <c r="E1077" s="23"/>
      <c r="F1077" s="23"/>
    </row>
    <row r="1078" spans="1:6" ht="16.5">
      <c r="A1078" s="23"/>
      <c r="B1078" s="23"/>
      <c r="C1078" s="23"/>
      <c r="D1078" s="23"/>
      <c r="E1078" s="23"/>
      <c r="F1078" s="23"/>
    </row>
    <row r="1079" spans="1:6" ht="16.5">
      <c r="A1079" s="23"/>
      <c r="B1079" s="23"/>
      <c r="C1079" s="23"/>
      <c r="D1079" s="23"/>
      <c r="E1079" s="23"/>
      <c r="F1079" s="23"/>
    </row>
    <row r="1080" spans="1:6" ht="16.5">
      <c r="A1080" s="23"/>
      <c r="B1080" s="23"/>
      <c r="C1080" s="23"/>
      <c r="D1080" s="23"/>
      <c r="E1080" s="23"/>
      <c r="F1080" s="23"/>
    </row>
    <row r="1081" spans="1:6" ht="16.5">
      <c r="A1081" s="23"/>
      <c r="B1081" s="23"/>
      <c r="C1081" s="23"/>
      <c r="D1081" s="23"/>
      <c r="E1081" s="23"/>
      <c r="F1081" s="23"/>
    </row>
    <row r="1082" spans="1:6" ht="16.5">
      <c r="A1082" s="23"/>
      <c r="B1082" s="23"/>
      <c r="C1082" s="23"/>
      <c r="D1082" s="23"/>
      <c r="E1082" s="23"/>
      <c r="F1082" s="23"/>
    </row>
    <row r="1083" spans="1:6" ht="16.5">
      <c r="A1083" s="23"/>
      <c r="B1083" s="23"/>
      <c r="C1083" s="23"/>
      <c r="D1083" s="23"/>
      <c r="E1083" s="23"/>
      <c r="F1083" s="23"/>
    </row>
    <row r="1084" spans="1:6" ht="16.5">
      <c r="A1084" s="23"/>
      <c r="B1084" s="23"/>
      <c r="C1084" s="23"/>
      <c r="D1084" s="23"/>
      <c r="E1084" s="23"/>
      <c r="F1084" s="23"/>
    </row>
    <row r="1085" spans="1:6" ht="16.5">
      <c r="A1085" s="23"/>
      <c r="B1085" s="23"/>
      <c r="C1085" s="23"/>
      <c r="D1085" s="23"/>
      <c r="E1085" s="23"/>
      <c r="F1085" s="23"/>
    </row>
    <row r="1086" spans="1:6" ht="16.5">
      <c r="A1086" s="23"/>
      <c r="B1086" s="23"/>
      <c r="C1086" s="23"/>
      <c r="D1086" s="23"/>
      <c r="E1086" s="23"/>
      <c r="F1086" s="23"/>
    </row>
    <row r="1087" spans="1:6" ht="16.5">
      <c r="A1087" s="23"/>
      <c r="B1087" s="23"/>
      <c r="C1087" s="23"/>
      <c r="D1087" s="23"/>
      <c r="E1087" s="23"/>
      <c r="F1087" s="23"/>
    </row>
    <row r="1088" spans="1:6" ht="16.5">
      <c r="A1088" s="23"/>
      <c r="B1088" s="23"/>
      <c r="C1088" s="23"/>
      <c r="D1088" s="23"/>
      <c r="E1088" s="23"/>
      <c r="F1088" s="23"/>
    </row>
    <row r="1089" spans="1:6" ht="16.5">
      <c r="A1089" s="23"/>
      <c r="B1089" s="23"/>
      <c r="C1089" s="23"/>
      <c r="D1089" s="23"/>
      <c r="E1089" s="23"/>
      <c r="F1089" s="23"/>
    </row>
    <row r="1090" spans="1:6" ht="16.5">
      <c r="A1090" s="23"/>
      <c r="B1090" s="23"/>
      <c r="C1090" s="23"/>
      <c r="D1090" s="23"/>
      <c r="E1090" s="23"/>
      <c r="F1090" s="23"/>
    </row>
    <row r="1091" spans="1:6" ht="16.5">
      <c r="A1091" s="23"/>
      <c r="B1091" s="23"/>
      <c r="C1091" s="23"/>
      <c r="D1091" s="23"/>
      <c r="E1091" s="23"/>
      <c r="F1091" s="23"/>
    </row>
    <row r="1092" spans="1:6" ht="16.5">
      <c r="A1092" s="23"/>
      <c r="B1092" s="23"/>
      <c r="C1092" s="23"/>
      <c r="D1092" s="23"/>
      <c r="E1092" s="23"/>
      <c r="F1092" s="23"/>
    </row>
    <row r="1093" spans="1:6" ht="16.5">
      <c r="A1093" s="23"/>
      <c r="B1093" s="23"/>
      <c r="C1093" s="23"/>
      <c r="D1093" s="23"/>
      <c r="E1093" s="23"/>
      <c r="F1093" s="23"/>
    </row>
    <row r="1094" spans="1:6" ht="16.5">
      <c r="A1094" s="23"/>
      <c r="B1094" s="23"/>
      <c r="C1094" s="23"/>
      <c r="D1094" s="23"/>
      <c r="E1094" s="23"/>
      <c r="F1094" s="23"/>
    </row>
    <row r="1095" spans="1:6" ht="16.5">
      <c r="A1095" s="23"/>
      <c r="B1095" s="23"/>
      <c r="C1095" s="23"/>
      <c r="D1095" s="23"/>
      <c r="E1095" s="23"/>
      <c r="F1095" s="23"/>
    </row>
    <row r="1096" spans="1:6" ht="16.5">
      <c r="A1096" s="23"/>
      <c r="B1096" s="23"/>
      <c r="C1096" s="23"/>
      <c r="D1096" s="23"/>
      <c r="E1096" s="23"/>
      <c r="F1096" s="23"/>
    </row>
    <row r="1097" spans="1:6" ht="16.5">
      <c r="A1097" s="23"/>
      <c r="B1097" s="23"/>
      <c r="C1097" s="23"/>
      <c r="D1097" s="23"/>
      <c r="E1097" s="23"/>
      <c r="F1097" s="23"/>
    </row>
    <row r="1098" spans="1:6" ht="16.5">
      <c r="A1098" s="23"/>
      <c r="B1098" s="23"/>
      <c r="C1098" s="23"/>
      <c r="D1098" s="23"/>
      <c r="E1098" s="23"/>
      <c r="F1098" s="23"/>
    </row>
    <row r="1099" spans="1:6" ht="16.5">
      <c r="A1099" s="23"/>
      <c r="B1099" s="23"/>
      <c r="C1099" s="23"/>
      <c r="D1099" s="23"/>
      <c r="E1099" s="23"/>
      <c r="F1099" s="23"/>
    </row>
    <row r="1100" spans="1:6" ht="16.5">
      <c r="A1100" s="23"/>
      <c r="B1100" s="23"/>
      <c r="C1100" s="23"/>
      <c r="D1100" s="23"/>
      <c r="E1100" s="23"/>
      <c r="F1100" s="23"/>
    </row>
    <row r="1101" spans="1:6" ht="16.5">
      <c r="A1101" s="23"/>
      <c r="B1101" s="23"/>
      <c r="C1101" s="23"/>
      <c r="D1101" s="23"/>
      <c r="E1101" s="23"/>
      <c r="F1101" s="23"/>
    </row>
    <row r="1102" spans="1:6" ht="16.5">
      <c r="A1102" s="23"/>
      <c r="B1102" s="23"/>
      <c r="C1102" s="23"/>
      <c r="D1102" s="23"/>
      <c r="E1102" s="23"/>
      <c r="F1102" s="23"/>
    </row>
    <row r="1103" spans="1:6" ht="16.5">
      <c r="A1103" s="23"/>
      <c r="B1103" s="23"/>
      <c r="C1103" s="23"/>
      <c r="D1103" s="23"/>
      <c r="E1103" s="23"/>
      <c r="F1103" s="23"/>
    </row>
    <row r="1104" spans="1:6" ht="16.5">
      <c r="A1104" s="23"/>
      <c r="B1104" s="23"/>
      <c r="C1104" s="23"/>
      <c r="D1104" s="23"/>
      <c r="E1104" s="23"/>
      <c r="F1104" s="23"/>
    </row>
    <row r="1105" spans="1:6" ht="16.5">
      <c r="A1105" s="23"/>
      <c r="B1105" s="23"/>
      <c r="C1105" s="23"/>
      <c r="D1105" s="23"/>
      <c r="E1105" s="23"/>
      <c r="F1105" s="23"/>
    </row>
    <row r="1106" spans="1:6" ht="16.5">
      <c r="A1106" s="23"/>
      <c r="B1106" s="23"/>
      <c r="C1106" s="23"/>
      <c r="D1106" s="23"/>
      <c r="E1106" s="23"/>
      <c r="F1106" s="23"/>
    </row>
    <row r="1107" spans="1:6" ht="16.5">
      <c r="A1107" s="23"/>
      <c r="B1107" s="23"/>
      <c r="C1107" s="23"/>
      <c r="D1107" s="23"/>
      <c r="E1107" s="23"/>
      <c r="F1107" s="23"/>
    </row>
    <row r="1108" spans="1:6" ht="16.5">
      <c r="A1108" s="23"/>
      <c r="B1108" s="23"/>
      <c r="C1108" s="23"/>
      <c r="D1108" s="23"/>
      <c r="E1108" s="23"/>
      <c r="F1108" s="23"/>
    </row>
    <row r="1109" spans="1:6" ht="16.5">
      <c r="A1109" s="23"/>
      <c r="B1109" s="23"/>
      <c r="C1109" s="23"/>
      <c r="D1109" s="23"/>
      <c r="E1109" s="23"/>
      <c r="F1109" s="23"/>
    </row>
    <row r="1110" spans="1:6" ht="16.5">
      <c r="A1110" s="23"/>
      <c r="B1110" s="23"/>
      <c r="C1110" s="23"/>
      <c r="D1110" s="23"/>
      <c r="E1110" s="23"/>
      <c r="F1110" s="23"/>
    </row>
    <row r="1111" spans="1:6" ht="16.5">
      <c r="A1111" s="23"/>
      <c r="B1111" s="23"/>
      <c r="C1111" s="23"/>
      <c r="D1111" s="23"/>
      <c r="E1111" s="23"/>
      <c r="F1111" s="23"/>
    </row>
    <row r="1112" spans="1:6" ht="16.5">
      <c r="A1112" s="23"/>
      <c r="B1112" s="23"/>
      <c r="C1112" s="23"/>
      <c r="D1112" s="23"/>
      <c r="E1112" s="23"/>
      <c r="F1112" s="23"/>
    </row>
    <row r="1113" spans="1:6" ht="16.5">
      <c r="A1113" s="23"/>
      <c r="B1113" s="23"/>
      <c r="C1113" s="23"/>
      <c r="D1113" s="23"/>
      <c r="E1113" s="23"/>
      <c r="F1113" s="23"/>
    </row>
    <row r="1114" spans="1:6" ht="16.5">
      <c r="A1114" s="23"/>
      <c r="B1114" s="23"/>
      <c r="C1114" s="23"/>
      <c r="D1114" s="23"/>
      <c r="E1114" s="23"/>
      <c r="F1114" s="23"/>
    </row>
    <row r="1115" spans="1:6" ht="16.5">
      <c r="A1115" s="23"/>
      <c r="B1115" s="23"/>
      <c r="C1115" s="23"/>
      <c r="D1115" s="23"/>
      <c r="E1115" s="23"/>
      <c r="F1115" s="23"/>
    </row>
    <row r="1116" spans="1:6" ht="16.5">
      <c r="A1116" s="23"/>
      <c r="B1116" s="23"/>
      <c r="C1116" s="23"/>
      <c r="D1116" s="23"/>
      <c r="E1116" s="23"/>
      <c r="F1116" s="23"/>
    </row>
    <row r="1117" spans="1:6" ht="16.5">
      <c r="A1117" s="23"/>
      <c r="B1117" s="23"/>
      <c r="C1117" s="23"/>
      <c r="D1117" s="23"/>
      <c r="E1117" s="23"/>
      <c r="F1117" s="23"/>
    </row>
    <row r="1118" spans="1:6" ht="16.5">
      <c r="A1118" s="23"/>
      <c r="B1118" s="23"/>
      <c r="C1118" s="23"/>
      <c r="D1118" s="23"/>
      <c r="E1118" s="23"/>
      <c r="F1118" s="23"/>
    </row>
    <row r="1119" spans="1:6" ht="16.5">
      <c r="A1119" s="23"/>
      <c r="B1119" s="23"/>
      <c r="C1119" s="23"/>
      <c r="D1119" s="23"/>
      <c r="E1119" s="23"/>
      <c r="F1119" s="23"/>
    </row>
    <row r="1120" spans="1:6" ht="16.5">
      <c r="A1120" s="23"/>
      <c r="B1120" s="23"/>
      <c r="C1120" s="23"/>
      <c r="D1120" s="23"/>
      <c r="E1120" s="23"/>
      <c r="F1120" s="23"/>
    </row>
    <row r="1121" spans="1:6" ht="16.5">
      <c r="A1121" s="23"/>
      <c r="B1121" s="23"/>
      <c r="C1121" s="23"/>
      <c r="D1121" s="23"/>
      <c r="E1121" s="23"/>
      <c r="F1121" s="23"/>
    </row>
    <row r="1122" spans="1:6" ht="16.5">
      <c r="A1122" s="23"/>
      <c r="B1122" s="23"/>
      <c r="C1122" s="23"/>
      <c r="D1122" s="23"/>
      <c r="E1122" s="23"/>
      <c r="F1122" s="23"/>
    </row>
    <row r="1123" spans="1:6" ht="16.5">
      <c r="A1123" s="23"/>
      <c r="B1123" s="23"/>
      <c r="C1123" s="23"/>
      <c r="D1123" s="23"/>
      <c r="E1123" s="23"/>
      <c r="F1123" s="23"/>
    </row>
    <row r="1124" spans="1:6" ht="16.5">
      <c r="A1124" s="23"/>
      <c r="B1124" s="23"/>
      <c r="C1124" s="23"/>
      <c r="D1124" s="23"/>
      <c r="E1124" s="23"/>
      <c r="F1124" s="23"/>
    </row>
    <row r="1125" spans="1:6" ht="16.5">
      <c r="A1125" s="23"/>
      <c r="B1125" s="23"/>
      <c r="C1125" s="23"/>
      <c r="D1125" s="23"/>
      <c r="E1125" s="23"/>
      <c r="F1125" s="23"/>
    </row>
    <row r="1126" spans="1:6" ht="16.5">
      <c r="A1126" s="23"/>
      <c r="B1126" s="23"/>
      <c r="C1126" s="23"/>
      <c r="D1126" s="23"/>
      <c r="E1126" s="23"/>
      <c r="F1126" s="23"/>
    </row>
    <row r="1127" spans="1:6" ht="16.5">
      <c r="A1127" s="23"/>
      <c r="B1127" s="23"/>
      <c r="C1127" s="23"/>
      <c r="D1127" s="23"/>
      <c r="E1127" s="23"/>
      <c r="F1127" s="23"/>
    </row>
    <row r="1128" spans="1:6" ht="16.5">
      <c r="A1128" s="23"/>
      <c r="B1128" s="23"/>
      <c r="C1128" s="23"/>
      <c r="D1128" s="23"/>
      <c r="E1128" s="23"/>
      <c r="F1128" s="23"/>
    </row>
    <row r="1129" spans="1:6" ht="16.5">
      <c r="A1129" s="23"/>
      <c r="B1129" s="23"/>
      <c r="C1129" s="23"/>
      <c r="D1129" s="23"/>
      <c r="E1129" s="23"/>
      <c r="F1129" s="23"/>
    </row>
    <row r="1130" spans="1:6" ht="16.5">
      <c r="A1130" s="23"/>
      <c r="B1130" s="23"/>
      <c r="C1130" s="23"/>
      <c r="D1130" s="23"/>
      <c r="E1130" s="23"/>
      <c r="F1130" s="23"/>
    </row>
    <row r="1131" spans="1:6" ht="16.5">
      <c r="A1131" s="23"/>
      <c r="B1131" s="23"/>
      <c r="C1131" s="23"/>
      <c r="D1131" s="23"/>
      <c r="E1131" s="23"/>
      <c r="F1131" s="23"/>
    </row>
    <row r="1132" spans="1:6" ht="16.5">
      <c r="A1132" s="23"/>
      <c r="B1132" s="23"/>
      <c r="C1132" s="23"/>
      <c r="D1132" s="23"/>
      <c r="E1132" s="23"/>
      <c r="F1132" s="23"/>
    </row>
    <row r="1133" spans="1:6" ht="16.5">
      <c r="A1133" s="23"/>
      <c r="B1133" s="23"/>
      <c r="C1133" s="23"/>
      <c r="D1133" s="23"/>
      <c r="E1133" s="23"/>
      <c r="F1133" s="23"/>
    </row>
    <row r="1134" spans="1:6" ht="16.5">
      <c r="A1134" s="23"/>
      <c r="B1134" s="23"/>
      <c r="C1134" s="23"/>
      <c r="D1134" s="23"/>
      <c r="E1134" s="23"/>
      <c r="F1134" s="23"/>
    </row>
    <row r="1135" spans="1:6" ht="16.5">
      <c r="A1135" s="23"/>
      <c r="B1135" s="23"/>
      <c r="C1135" s="23"/>
      <c r="D1135" s="23"/>
      <c r="E1135" s="23"/>
      <c r="F1135" s="23"/>
    </row>
    <row r="1136" spans="1:6" ht="16.5">
      <c r="A1136" s="23"/>
      <c r="B1136" s="23"/>
      <c r="C1136" s="23"/>
      <c r="D1136" s="23"/>
      <c r="E1136" s="23"/>
      <c r="F1136" s="23"/>
    </row>
    <row r="1137" spans="1:6" ht="16.5">
      <c r="A1137" s="23"/>
      <c r="B1137" s="23"/>
      <c r="C1137" s="23"/>
      <c r="D1137" s="23"/>
      <c r="E1137" s="23"/>
      <c r="F1137" s="23"/>
    </row>
    <row r="1138" spans="1:6" ht="16.5">
      <c r="A1138" s="23"/>
      <c r="B1138" s="23"/>
      <c r="C1138" s="23"/>
      <c r="D1138" s="23"/>
      <c r="E1138" s="23"/>
      <c r="F1138" s="23"/>
    </row>
    <row r="1139" spans="1:6" ht="16.5">
      <c r="A1139" s="23"/>
      <c r="B1139" s="23"/>
      <c r="C1139" s="23"/>
      <c r="D1139" s="23"/>
      <c r="E1139" s="23"/>
      <c r="F1139" s="23"/>
    </row>
    <row r="1140" spans="1:6" ht="16.5">
      <c r="A1140" s="23"/>
      <c r="B1140" s="23"/>
      <c r="C1140" s="23"/>
      <c r="D1140" s="23"/>
      <c r="E1140" s="23"/>
      <c r="F1140" s="23"/>
    </row>
    <row r="1141" spans="1:6" ht="16.5">
      <c r="A1141" s="23"/>
      <c r="B1141" s="23"/>
      <c r="C1141" s="23"/>
      <c r="D1141" s="23"/>
      <c r="E1141" s="23"/>
      <c r="F1141" s="23"/>
    </row>
    <row r="1142" spans="1:6" ht="16.5">
      <c r="A1142" s="23"/>
      <c r="B1142" s="23"/>
      <c r="C1142" s="23"/>
      <c r="D1142" s="23"/>
      <c r="E1142" s="23"/>
      <c r="F1142" s="23"/>
    </row>
    <row r="1143" spans="1:6" ht="16.5">
      <c r="A1143" s="23"/>
      <c r="B1143" s="23"/>
      <c r="C1143" s="23"/>
      <c r="D1143" s="23"/>
      <c r="E1143" s="23"/>
      <c r="F1143" s="23"/>
    </row>
    <row r="1144" spans="1:6" ht="16.5">
      <c r="A1144" s="23"/>
      <c r="B1144" s="23"/>
      <c r="C1144" s="23"/>
      <c r="D1144" s="23"/>
      <c r="E1144" s="23"/>
      <c r="F1144" s="23"/>
    </row>
    <row r="1145" spans="1:6" ht="16.5">
      <c r="A1145" s="23"/>
      <c r="B1145" s="23"/>
      <c r="C1145" s="23"/>
      <c r="D1145" s="23"/>
      <c r="E1145" s="23"/>
      <c r="F1145" s="23"/>
    </row>
    <row r="1146" spans="1:6" ht="16.5">
      <c r="A1146" s="23"/>
      <c r="B1146" s="23"/>
      <c r="C1146" s="23"/>
      <c r="D1146" s="23"/>
      <c r="E1146" s="23"/>
      <c r="F1146" s="23"/>
    </row>
    <row r="1147" spans="1:6" ht="16.5">
      <c r="A1147" s="23"/>
      <c r="B1147" s="23"/>
      <c r="C1147" s="23"/>
      <c r="D1147" s="23"/>
      <c r="E1147" s="23"/>
      <c r="F1147" s="23"/>
    </row>
    <row r="1148" spans="1:6" ht="16.5">
      <c r="A1148" s="23"/>
      <c r="B1148" s="23"/>
      <c r="C1148" s="23"/>
      <c r="D1148" s="23"/>
      <c r="E1148" s="23"/>
      <c r="F1148" s="23"/>
    </row>
    <row r="1149" spans="1:6" ht="16.5">
      <c r="A1149" s="23"/>
      <c r="B1149" s="23"/>
      <c r="C1149" s="23"/>
      <c r="D1149" s="23"/>
      <c r="E1149" s="23"/>
      <c r="F1149" s="23"/>
    </row>
    <row r="1150" spans="1:6" ht="16.5">
      <c r="A1150" s="23"/>
      <c r="B1150" s="23"/>
      <c r="C1150" s="23"/>
      <c r="D1150" s="23"/>
      <c r="E1150" s="23"/>
      <c r="F1150" s="23"/>
    </row>
    <row r="1151" spans="1:6" ht="16.5">
      <c r="A1151" s="23"/>
      <c r="B1151" s="23"/>
      <c r="C1151" s="23"/>
      <c r="D1151" s="23"/>
      <c r="E1151" s="23"/>
      <c r="F1151" s="23"/>
    </row>
    <row r="1152" spans="1:6" ht="16.5">
      <c r="A1152" s="23"/>
      <c r="B1152" s="23"/>
      <c r="C1152" s="23"/>
      <c r="D1152" s="23"/>
      <c r="E1152" s="23"/>
      <c r="F1152" s="23"/>
    </row>
    <row r="1153" spans="1:6" ht="16.5">
      <c r="A1153" s="23"/>
      <c r="B1153" s="23"/>
      <c r="C1153" s="23"/>
      <c r="D1153" s="23"/>
      <c r="E1153" s="23"/>
      <c r="F1153" s="23"/>
    </row>
    <row r="1154" spans="1:6" ht="16.5">
      <c r="A1154" s="23"/>
      <c r="B1154" s="23"/>
      <c r="C1154" s="23"/>
      <c r="D1154" s="23"/>
      <c r="E1154" s="23"/>
      <c r="F1154" s="23"/>
    </row>
    <row r="1155" spans="1:6" ht="16.5">
      <c r="A1155" s="23"/>
      <c r="B1155" s="23"/>
      <c r="C1155" s="23"/>
      <c r="D1155" s="23"/>
      <c r="E1155" s="23"/>
      <c r="F1155" s="23"/>
    </row>
    <row r="1156" spans="1:6" ht="16.5">
      <c r="A1156" s="23"/>
      <c r="B1156" s="23"/>
      <c r="C1156" s="23"/>
      <c r="D1156" s="23"/>
      <c r="E1156" s="23"/>
      <c r="F1156" s="23"/>
    </row>
    <row r="1157" spans="1:6" ht="16.5">
      <c r="A1157" s="23"/>
      <c r="B1157" s="23"/>
      <c r="C1157" s="23"/>
      <c r="D1157" s="23"/>
      <c r="E1157" s="23"/>
      <c r="F1157" s="23"/>
    </row>
    <row r="1158" spans="1:6" ht="16.5">
      <c r="A1158" s="23"/>
      <c r="B1158" s="23"/>
      <c r="C1158" s="23"/>
      <c r="D1158" s="23"/>
      <c r="E1158" s="23"/>
      <c r="F1158" s="23"/>
    </row>
    <row r="1159" spans="1:6" ht="16.5">
      <c r="A1159" s="23"/>
      <c r="B1159" s="23"/>
      <c r="C1159" s="23"/>
      <c r="D1159" s="23"/>
      <c r="E1159" s="23"/>
      <c r="F1159" s="23"/>
    </row>
    <row r="1160" spans="1:6" ht="16.5">
      <c r="A1160" s="23"/>
      <c r="B1160" s="23"/>
      <c r="C1160" s="23"/>
      <c r="D1160" s="23"/>
      <c r="E1160" s="23"/>
      <c r="F1160" s="23"/>
    </row>
    <row r="1161" spans="1:6" ht="16.5">
      <c r="A1161" s="23"/>
      <c r="B1161" s="23"/>
      <c r="C1161" s="23"/>
      <c r="D1161" s="23"/>
      <c r="E1161" s="23"/>
      <c r="F1161" s="23"/>
    </row>
    <row r="1162" spans="1:6" ht="16.5">
      <c r="A1162" s="23"/>
      <c r="B1162" s="23"/>
      <c r="C1162" s="23"/>
      <c r="D1162" s="23"/>
      <c r="E1162" s="23"/>
      <c r="F1162" s="23"/>
    </row>
    <row r="1163" spans="1:6" ht="16.5">
      <c r="A1163" s="23"/>
      <c r="B1163" s="23"/>
      <c r="C1163" s="23"/>
      <c r="D1163" s="23"/>
      <c r="E1163" s="23"/>
      <c r="F1163" s="23"/>
    </row>
    <row r="1164" spans="1:6" ht="16.5">
      <c r="A1164" s="23"/>
      <c r="B1164" s="23"/>
      <c r="C1164" s="23"/>
      <c r="D1164" s="23"/>
      <c r="E1164" s="23"/>
      <c r="F1164" s="23"/>
    </row>
    <row r="1165" spans="1:6" ht="16.5">
      <c r="A1165" s="23"/>
      <c r="B1165" s="23"/>
      <c r="C1165" s="23"/>
      <c r="D1165" s="23"/>
      <c r="E1165" s="23"/>
      <c r="F1165" s="23"/>
    </row>
    <row r="1166" spans="1:6" ht="16.5">
      <c r="A1166" s="23"/>
      <c r="B1166" s="23"/>
      <c r="C1166" s="23"/>
      <c r="D1166" s="23"/>
      <c r="E1166" s="23"/>
      <c r="F1166" s="23"/>
    </row>
    <row r="1167" spans="1:6" ht="16.5">
      <c r="A1167" s="23"/>
      <c r="B1167" s="23"/>
      <c r="C1167" s="23"/>
      <c r="D1167" s="23"/>
      <c r="E1167" s="23"/>
      <c r="F1167" s="23"/>
    </row>
    <row r="1168" spans="1:6" ht="16.5">
      <c r="A1168" s="23"/>
      <c r="B1168" s="23"/>
      <c r="C1168" s="23"/>
      <c r="D1168" s="23"/>
      <c r="E1168" s="23"/>
      <c r="F1168" s="23"/>
    </row>
    <row r="1169" spans="1:6" ht="16.5">
      <c r="A1169" s="23"/>
      <c r="B1169" s="23"/>
      <c r="C1169" s="23"/>
      <c r="D1169" s="23"/>
      <c r="E1169" s="23"/>
      <c r="F1169" s="23"/>
    </row>
    <row r="1170" spans="1:6" ht="16.5">
      <c r="A1170" s="23"/>
      <c r="B1170" s="23"/>
      <c r="C1170" s="23"/>
      <c r="D1170" s="23"/>
      <c r="E1170" s="23"/>
      <c r="F1170" s="23"/>
    </row>
    <row r="1171" spans="1:6" ht="16.5">
      <c r="A1171" s="23"/>
      <c r="B1171" s="23"/>
      <c r="C1171" s="23"/>
      <c r="D1171" s="23"/>
      <c r="E1171" s="23"/>
      <c r="F1171" s="23"/>
    </row>
    <row r="1172" spans="1:6" ht="16.5">
      <c r="A1172" s="23"/>
      <c r="B1172" s="23"/>
      <c r="C1172" s="23"/>
      <c r="D1172" s="23"/>
      <c r="E1172" s="23"/>
      <c r="F1172" s="23"/>
    </row>
    <row r="1173" spans="1:6" ht="16.5">
      <c r="A1173" s="23"/>
      <c r="B1173" s="23"/>
      <c r="C1173" s="23"/>
      <c r="D1173" s="23"/>
      <c r="E1173" s="23"/>
      <c r="F1173" s="23"/>
    </row>
    <row r="1174" spans="1:6" ht="16.5">
      <c r="A1174" s="23"/>
      <c r="B1174" s="23"/>
      <c r="C1174" s="23"/>
      <c r="D1174" s="23"/>
      <c r="E1174" s="23"/>
      <c r="F1174" s="23"/>
    </row>
    <row r="1175" spans="1:6" ht="16.5">
      <c r="A1175" s="23"/>
      <c r="B1175" s="23"/>
      <c r="C1175" s="23"/>
      <c r="D1175" s="23"/>
      <c r="E1175" s="23"/>
      <c r="F1175" s="23"/>
    </row>
    <row r="1176" spans="1:6" ht="16.5">
      <c r="A1176" s="23"/>
      <c r="B1176" s="23"/>
      <c r="C1176" s="23"/>
      <c r="D1176" s="23"/>
      <c r="E1176" s="23"/>
      <c r="F1176" s="23"/>
    </row>
    <row r="1177" spans="1:6" ht="16.5">
      <c r="A1177" s="23"/>
      <c r="B1177" s="23"/>
      <c r="C1177" s="23"/>
      <c r="D1177" s="23"/>
      <c r="E1177" s="23"/>
      <c r="F1177" s="23"/>
    </row>
    <row r="1178" spans="1:6" ht="16.5">
      <c r="A1178" s="23"/>
      <c r="B1178" s="23"/>
      <c r="C1178" s="23"/>
      <c r="D1178" s="23"/>
      <c r="E1178" s="23"/>
      <c r="F1178" s="23"/>
    </row>
    <row r="1179" spans="1:6" ht="16.5">
      <c r="A1179" s="23"/>
      <c r="B1179" s="23"/>
      <c r="C1179" s="23"/>
      <c r="D1179" s="23"/>
      <c r="E1179" s="23"/>
      <c r="F1179" s="23"/>
    </row>
    <row r="1180" spans="1:6" ht="16.5">
      <c r="A1180" s="23"/>
      <c r="B1180" s="23"/>
      <c r="C1180" s="23"/>
      <c r="D1180" s="23"/>
      <c r="E1180" s="23"/>
      <c r="F1180" s="23"/>
    </row>
    <row r="1181" spans="1:6" ht="16.5">
      <c r="A1181" s="23"/>
      <c r="B1181" s="23"/>
      <c r="C1181" s="23"/>
      <c r="D1181" s="23"/>
      <c r="E1181" s="23"/>
      <c r="F1181" s="23"/>
    </row>
    <row r="1182" spans="1:6" ht="16.5">
      <c r="A1182" s="23"/>
      <c r="B1182" s="23"/>
      <c r="C1182" s="23"/>
      <c r="D1182" s="23"/>
      <c r="E1182" s="23"/>
      <c r="F1182" s="23"/>
    </row>
    <row r="1183" spans="1:6" ht="16.5">
      <c r="A1183" s="23"/>
      <c r="B1183" s="23"/>
      <c r="C1183" s="23"/>
      <c r="D1183" s="23"/>
      <c r="E1183" s="23"/>
      <c r="F1183" s="23"/>
    </row>
    <row r="1184" spans="1:6" ht="16.5">
      <c r="A1184" s="23"/>
      <c r="B1184" s="23"/>
      <c r="C1184" s="23"/>
      <c r="D1184" s="23"/>
      <c r="E1184" s="23"/>
      <c r="F1184" s="23"/>
    </row>
    <row r="1185" spans="1:6" ht="16.5">
      <c r="A1185" s="23"/>
      <c r="B1185" s="23"/>
      <c r="C1185" s="23"/>
      <c r="D1185" s="23"/>
      <c r="E1185" s="23"/>
      <c r="F1185" s="23"/>
    </row>
    <row r="1186" spans="1:6" ht="16.5">
      <c r="A1186" s="23"/>
      <c r="B1186" s="23"/>
      <c r="C1186" s="23"/>
      <c r="D1186" s="23"/>
      <c r="E1186" s="23"/>
      <c r="F1186" s="23"/>
    </row>
    <row r="1187" spans="1:6" ht="16.5">
      <c r="A1187" s="23"/>
      <c r="B1187" s="23"/>
      <c r="C1187" s="23"/>
      <c r="D1187" s="23"/>
      <c r="E1187" s="23"/>
      <c r="F1187" s="23"/>
    </row>
    <row r="1188" spans="1:6" ht="16.5">
      <c r="A1188" s="23"/>
      <c r="B1188" s="23"/>
      <c r="C1188" s="23"/>
      <c r="D1188" s="23"/>
      <c r="E1188" s="23"/>
      <c r="F1188" s="23"/>
    </row>
    <row r="1189" spans="1:6" ht="16.5">
      <c r="A1189" s="23"/>
      <c r="B1189" s="23"/>
      <c r="C1189" s="23"/>
      <c r="D1189" s="23"/>
      <c r="E1189" s="23"/>
      <c r="F1189" s="23"/>
    </row>
    <row r="1190" spans="1:6" ht="16.5">
      <c r="A1190" s="23"/>
      <c r="B1190" s="23"/>
      <c r="C1190" s="23"/>
      <c r="D1190" s="23"/>
      <c r="E1190" s="23"/>
      <c r="F1190" s="23"/>
    </row>
    <row r="1191" spans="1:6" ht="16.5">
      <c r="A1191" s="23"/>
      <c r="B1191" s="23"/>
      <c r="C1191" s="23"/>
      <c r="D1191" s="23"/>
      <c r="E1191" s="23"/>
      <c r="F1191" s="23"/>
    </row>
    <row r="1192" spans="1:6" ht="16.5">
      <c r="A1192" s="23"/>
      <c r="B1192" s="23"/>
      <c r="C1192" s="23"/>
      <c r="D1192" s="23"/>
      <c r="E1192" s="23"/>
      <c r="F1192" s="23"/>
    </row>
    <row r="1193" spans="1:6" ht="16.5">
      <c r="A1193" s="23"/>
      <c r="B1193" s="23"/>
      <c r="C1193" s="23"/>
      <c r="D1193" s="23"/>
      <c r="E1193" s="23"/>
      <c r="F1193" s="23"/>
    </row>
    <row r="1194" spans="1:6" ht="16.5">
      <c r="A1194" s="23"/>
      <c r="B1194" s="23"/>
      <c r="C1194" s="23"/>
      <c r="D1194" s="23"/>
      <c r="E1194" s="23"/>
      <c r="F1194" s="23"/>
    </row>
    <row r="1195" spans="1:6" ht="16.5">
      <c r="A1195" s="23"/>
      <c r="B1195" s="23"/>
      <c r="C1195" s="23"/>
      <c r="D1195" s="23"/>
      <c r="E1195" s="23"/>
      <c r="F1195" s="23"/>
    </row>
    <row r="1196" spans="1:6" ht="16.5">
      <c r="A1196" s="23"/>
      <c r="B1196" s="23"/>
      <c r="C1196" s="23"/>
      <c r="D1196" s="23"/>
      <c r="E1196" s="23"/>
      <c r="F1196" s="23"/>
    </row>
    <row r="1197" spans="1:6" ht="16.5">
      <c r="A1197" s="23"/>
      <c r="B1197" s="23"/>
      <c r="C1197" s="23"/>
      <c r="D1197" s="23"/>
      <c r="E1197" s="23"/>
      <c r="F1197" s="23"/>
    </row>
    <row r="1198" spans="1:6" ht="16.5">
      <c r="A1198" s="23"/>
      <c r="B1198" s="23"/>
      <c r="C1198" s="23"/>
      <c r="D1198" s="23"/>
      <c r="E1198" s="23"/>
      <c r="F1198" s="23"/>
    </row>
    <row r="1199" spans="1:6" ht="16.5">
      <c r="A1199" s="23"/>
      <c r="B1199" s="23"/>
      <c r="C1199" s="23"/>
      <c r="D1199" s="23"/>
      <c r="E1199" s="23"/>
      <c r="F1199" s="23"/>
    </row>
    <row r="1200" spans="1:6" ht="16.5">
      <c r="A1200" s="23"/>
      <c r="B1200" s="23"/>
      <c r="C1200" s="23"/>
      <c r="D1200" s="23"/>
      <c r="E1200" s="23"/>
      <c r="F1200" s="23"/>
    </row>
    <row r="1201" spans="1:6" ht="16.5">
      <c r="A1201" s="23"/>
      <c r="B1201" s="23"/>
      <c r="C1201" s="23"/>
      <c r="D1201" s="23"/>
      <c r="E1201" s="23"/>
      <c r="F1201" s="23"/>
    </row>
    <row r="1202" spans="1:6" ht="16.5">
      <c r="A1202" s="23"/>
      <c r="B1202" s="23"/>
      <c r="C1202" s="23"/>
      <c r="D1202" s="23"/>
      <c r="E1202" s="23"/>
      <c r="F1202" s="23"/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577BE-FAE6-4EE2-82C2-A39776E8CCA3}">
  <sheetPr codeName="Sheet493">
    <pageSetUpPr fitToPage="1"/>
  </sheetPr>
  <dimension ref="A1:H53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7109375" style="131" customWidth="1"/>
    <col min="3" max="3" width="1.28515625" style="131" customWidth="1"/>
    <col min="4" max="4" width="21" style="131" customWidth="1"/>
    <col min="5" max="5" width="1.42578125" style="131" customWidth="1"/>
    <col min="6" max="6" width="16.42578125" style="131" customWidth="1"/>
    <col min="7" max="7" width="9" style="131" customWidth="1"/>
    <col min="8" max="8" width="13.28515625" style="131" customWidth="1"/>
    <col min="9" max="9" width="9.140625" style="86"/>
    <col min="10" max="10" width="9.42578125" style="86" bestFit="1" customWidth="1"/>
    <col min="11" max="11" width="9.140625" style="86"/>
    <col min="12" max="12" width="10.42578125" style="86" bestFit="1" customWidth="1"/>
    <col min="13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1110</v>
      </c>
      <c r="G9" s="111" t="s">
        <v>5187</v>
      </c>
    </row>
    <row r="10" spans="1:8">
      <c r="A10" s="131" t="s">
        <v>4903</v>
      </c>
      <c r="F10" s="132" t="s">
        <v>1685</v>
      </c>
      <c r="G10" s="112" t="s">
        <v>5186</v>
      </c>
    </row>
    <row r="11" spans="1:8">
      <c r="A11" s="131" t="s">
        <v>4904</v>
      </c>
      <c r="F11" s="132" t="s">
        <v>1163</v>
      </c>
      <c r="G11" s="112" t="s">
        <v>1094</v>
      </c>
    </row>
    <row r="12" spans="1:8">
      <c r="A12" s="131" t="s">
        <v>4905</v>
      </c>
      <c r="F12" s="132" t="s">
        <v>1188</v>
      </c>
      <c r="G12" s="120" t="s">
        <v>1270</v>
      </c>
    </row>
    <row r="16" spans="1:8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7" spans="1:8">
      <c r="A17" s="177"/>
    </row>
    <row r="18" spans="1:8">
      <c r="A18" s="413"/>
      <c r="B18" s="334"/>
      <c r="C18" s="158"/>
      <c r="D18" s="110" t="s">
        <v>3125</v>
      </c>
      <c r="E18" s="110"/>
    </row>
    <row r="19" spans="1:8">
      <c r="A19" s="177"/>
      <c r="E19" s="110"/>
    </row>
    <row r="20" spans="1:8">
      <c r="A20" s="158" t="s">
        <v>5159</v>
      </c>
      <c r="B20" s="158" t="s">
        <v>5188</v>
      </c>
      <c r="D20" s="131" t="s">
        <v>5189</v>
      </c>
      <c r="H20" s="131">
        <f>4800*3.0649</f>
        <v>14711.52</v>
      </c>
    </row>
    <row r="21" spans="1:8">
      <c r="A21" s="177"/>
      <c r="D21" s="131" t="s">
        <v>5190</v>
      </c>
    </row>
    <row r="22" spans="1:8">
      <c r="A22" s="177"/>
    </row>
    <row r="23" spans="1:8">
      <c r="A23" s="158"/>
      <c r="B23" s="141"/>
      <c r="D23" s="131" t="s">
        <v>1697</v>
      </c>
      <c r="E23" s="110"/>
      <c r="H23" s="131">
        <v>10</v>
      </c>
    </row>
    <row r="24" spans="1:8">
      <c r="A24" s="254"/>
      <c r="B24" s="158"/>
      <c r="C24" s="158"/>
    </row>
    <row r="25" spans="1:8">
      <c r="A25" s="177"/>
    </row>
    <row r="26" spans="1:8">
      <c r="A26" s="177"/>
    </row>
    <row r="27" spans="1:8">
      <c r="A27" s="158"/>
      <c r="E27" s="110"/>
    </row>
    <row r="29" spans="1:8">
      <c r="A29" s="158"/>
    </row>
    <row r="30" spans="1:8">
      <c r="A30" s="158"/>
      <c r="B30" s="86"/>
      <c r="C30" s="86"/>
    </row>
    <row r="31" spans="1:8">
      <c r="A31" s="86"/>
      <c r="B31" s="86"/>
      <c r="C31" s="86"/>
      <c r="D31" s="86"/>
      <c r="E31" s="86"/>
      <c r="F31" s="86"/>
      <c r="G31" s="86"/>
      <c r="H31" s="86"/>
    </row>
    <row r="32" spans="1:8">
      <c r="A32" s="177"/>
      <c r="H32" s="86"/>
    </row>
    <row r="33" spans="1:8" ht="13.5" thickBot="1">
      <c r="A33" s="177"/>
      <c r="H33" s="137">
        <f>SUM(H18:H31)</f>
        <v>14721.52</v>
      </c>
    </row>
    <row r="34" spans="1:8" ht="13.5" thickTop="1">
      <c r="A34" s="177"/>
    </row>
    <row r="35" spans="1:8" ht="20.100000000000001" customHeight="1">
      <c r="A35" s="138" t="s">
        <v>1686</v>
      </c>
      <c r="B35" s="204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Fourteen Thousand Seven Hundred Twenty-One and 52/100 -----------</v>
      </c>
      <c r="C35" s="204"/>
      <c r="D35" s="139"/>
      <c r="E35" s="139"/>
      <c r="F35" s="139"/>
      <c r="G35" s="139"/>
      <c r="H35" s="139"/>
    </row>
    <row r="36" spans="1:8">
      <c r="A36" s="140"/>
    </row>
    <row r="37" spans="1:8" ht="25.5">
      <c r="A37" s="147" t="s">
        <v>10</v>
      </c>
      <c r="D37" s="147"/>
      <c r="F37" s="283" t="s">
        <v>2894</v>
      </c>
      <c r="G37" s="284"/>
      <c r="H37" s="285"/>
    </row>
    <row r="39" spans="1:8">
      <c r="F39" s="291"/>
      <c r="G39" s="291"/>
      <c r="H39" s="291"/>
    </row>
    <row r="40" spans="1:8">
      <c r="A40" s="131" t="s">
        <v>51</v>
      </c>
      <c r="E40" s="141"/>
      <c r="F40" s="286"/>
      <c r="G40" s="287"/>
      <c r="H40" s="287"/>
    </row>
    <row r="41" spans="1:8">
      <c r="A41" s="104"/>
      <c r="B41" s="142"/>
    </row>
    <row r="44" spans="1:8">
      <c r="A44" s="131" t="s">
        <v>8</v>
      </c>
      <c r="D44" s="131" t="s">
        <v>8</v>
      </c>
      <c r="F44" s="143" t="s">
        <v>7</v>
      </c>
      <c r="H44" s="144"/>
    </row>
    <row r="48" spans="1:8">
      <c r="A48" s="142"/>
      <c r="B48" s="142"/>
      <c r="D48" s="142"/>
      <c r="F48" s="142"/>
      <c r="G48" s="142"/>
      <c r="H48" s="142"/>
    </row>
    <row r="49" spans="1:8" s="109" customFormat="1" ht="17.100000000000001" customHeight="1">
      <c r="A49" s="131" t="s">
        <v>2948</v>
      </c>
      <c r="B49" s="146"/>
      <c r="C49" s="146"/>
      <c r="D49" s="131" t="s">
        <v>103</v>
      </c>
      <c r="E49" s="147"/>
      <c r="F49" s="147" t="s">
        <v>3</v>
      </c>
      <c r="G49" s="147"/>
      <c r="H49" s="147"/>
    </row>
    <row r="50" spans="1:8">
      <c r="F50" s="131" t="s">
        <v>2</v>
      </c>
    </row>
    <row r="52" spans="1:8">
      <c r="F52" s="110" t="s">
        <v>1</v>
      </c>
    </row>
    <row r="53" spans="1:8">
      <c r="F53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0-000000000000}">
  <sheetPr codeName="Sheet70">
    <pageSetUpPr fitToPage="1"/>
  </sheetPr>
  <dimension ref="A1:F1201"/>
  <sheetViews>
    <sheetView view="pageBreakPreview" zoomScale="60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25.5703125" style="1" customWidth="1"/>
    <col min="7" max="16384" width="9.140625" style="1"/>
  </cols>
  <sheetData>
    <row r="1" spans="1:6" ht="18">
      <c r="A1" s="536" t="s">
        <v>26</v>
      </c>
      <c r="B1" s="536"/>
      <c r="C1" s="536"/>
      <c r="D1" s="536"/>
      <c r="E1" s="536"/>
      <c r="F1" s="536"/>
    </row>
    <row r="2" spans="1:6" ht="18">
      <c r="A2" s="536" t="s">
        <v>25</v>
      </c>
      <c r="B2" s="536"/>
      <c r="C2" s="536"/>
      <c r="D2" s="536"/>
      <c r="E2" s="536"/>
      <c r="F2" s="536"/>
    </row>
    <row r="3" spans="1:6" ht="18">
      <c r="A3" s="536" t="s">
        <v>1480</v>
      </c>
      <c r="B3" s="536"/>
      <c r="C3" s="536"/>
      <c r="D3" s="536"/>
      <c r="E3" s="536"/>
      <c r="F3" s="536"/>
    </row>
    <row r="4" spans="1:6" ht="18">
      <c r="A4" s="536" t="s">
        <v>1481</v>
      </c>
      <c r="B4" s="536"/>
      <c r="C4" s="536"/>
      <c r="D4" s="536"/>
      <c r="E4" s="536"/>
      <c r="F4" s="536"/>
    </row>
    <row r="5" spans="1:6" ht="16.5">
      <c r="A5" s="23"/>
      <c r="B5" s="23"/>
      <c r="C5" s="23"/>
      <c r="D5" s="23"/>
      <c r="E5" s="23"/>
      <c r="F5" s="23"/>
    </row>
    <row r="6" spans="1:6" ht="16.5">
      <c r="A6" s="23" t="s">
        <v>24</v>
      </c>
      <c r="B6" s="23"/>
      <c r="C6" s="23"/>
      <c r="D6" s="70" t="s">
        <v>23</v>
      </c>
      <c r="E6" s="23"/>
      <c r="F6" s="23"/>
    </row>
    <row r="7" spans="1:6" ht="16.5">
      <c r="A7" s="23"/>
      <c r="B7" s="23"/>
      <c r="C7" s="23"/>
      <c r="D7" s="69" t="s">
        <v>22</v>
      </c>
      <c r="E7" s="23" t="s">
        <v>310</v>
      </c>
      <c r="F7" s="23"/>
    </row>
    <row r="8" spans="1:6" ht="16.5">
      <c r="A8" s="23" t="s">
        <v>309</v>
      </c>
      <c r="B8" s="23"/>
      <c r="C8" s="23"/>
      <c r="D8" s="69" t="s">
        <v>21</v>
      </c>
      <c r="E8" s="69" t="s">
        <v>100</v>
      </c>
      <c r="F8" s="23"/>
    </row>
    <row r="9" spans="1:6" ht="16.5">
      <c r="A9" s="23" t="s">
        <v>308</v>
      </c>
      <c r="B9" s="23"/>
      <c r="C9" s="23"/>
      <c r="D9" s="69" t="s">
        <v>19</v>
      </c>
      <c r="E9" s="69" t="s">
        <v>18</v>
      </c>
      <c r="F9" s="23"/>
    </row>
    <row r="10" spans="1:6" ht="16.5">
      <c r="A10" s="23" t="s">
        <v>307</v>
      </c>
      <c r="B10" s="23"/>
      <c r="C10" s="23"/>
      <c r="D10" s="69" t="s">
        <v>17</v>
      </c>
      <c r="E10" s="69" t="s">
        <v>306</v>
      </c>
      <c r="F10" s="23"/>
    </row>
    <row r="11" spans="1:6" ht="16.5">
      <c r="A11" s="23"/>
      <c r="B11" s="23"/>
      <c r="C11" s="23"/>
      <c r="D11" s="23"/>
      <c r="E11" s="23"/>
      <c r="F11" s="23"/>
    </row>
    <row r="12" spans="1:6" ht="16.5">
      <c r="A12" s="23"/>
      <c r="B12" s="23"/>
      <c r="C12" s="23"/>
      <c r="D12" s="23"/>
      <c r="E12" s="23"/>
      <c r="F12" s="23"/>
    </row>
    <row r="13" spans="1:6" s="15" customFormat="1" ht="20.100000000000001" customHeight="1">
      <c r="A13" s="67" t="s">
        <v>15</v>
      </c>
      <c r="B13" s="67"/>
      <c r="C13" s="68" t="s">
        <v>14</v>
      </c>
      <c r="D13" s="67"/>
      <c r="E13" s="66"/>
      <c r="F13" s="65" t="s">
        <v>13</v>
      </c>
    </row>
    <row r="14" spans="1:6" ht="16.5">
      <c r="A14" s="23"/>
      <c r="B14" s="23"/>
      <c r="C14" s="23"/>
      <c r="D14" s="23"/>
      <c r="E14" s="23"/>
      <c r="F14" s="23"/>
    </row>
    <row r="15" spans="1:6" ht="16.5">
      <c r="A15" s="23"/>
      <c r="B15" s="23"/>
      <c r="C15" s="23"/>
      <c r="D15" s="23"/>
      <c r="E15" s="23"/>
      <c r="F15" s="23"/>
    </row>
    <row r="16" spans="1:6" ht="16.5">
      <c r="A16" s="23"/>
      <c r="B16" s="23"/>
      <c r="C16" s="58" t="s">
        <v>305</v>
      </c>
      <c r="D16" s="23"/>
      <c r="E16" s="23"/>
      <c r="F16" s="23"/>
    </row>
    <row r="17" spans="1:6" ht="16.5">
      <c r="A17" s="23"/>
      <c r="B17" s="23"/>
      <c r="C17" s="23"/>
      <c r="D17" s="23"/>
      <c r="E17" s="23"/>
      <c r="F17" s="23"/>
    </row>
    <row r="18" spans="1:6" ht="16.5">
      <c r="A18" s="23" t="s">
        <v>304</v>
      </c>
      <c r="B18" s="23"/>
      <c r="C18" s="23" t="s">
        <v>303</v>
      </c>
      <c r="D18" s="23"/>
      <c r="E18" s="23"/>
      <c r="F18" s="23">
        <v>30000</v>
      </c>
    </row>
    <row r="19" spans="1:6" ht="16.5">
      <c r="A19" s="23"/>
      <c r="B19" s="23"/>
      <c r="C19" s="23" t="s">
        <v>302</v>
      </c>
      <c r="D19" s="23"/>
      <c r="E19" s="23"/>
      <c r="F19" s="23"/>
    </row>
    <row r="20" spans="1:6" ht="16.5">
      <c r="A20" s="23"/>
      <c r="B20" s="23"/>
      <c r="C20" s="23" t="s">
        <v>301</v>
      </c>
      <c r="D20" s="23"/>
      <c r="E20" s="23"/>
      <c r="F20" s="23"/>
    </row>
    <row r="21" spans="1:6" ht="16.5">
      <c r="A21" s="23"/>
      <c r="B21" s="23"/>
      <c r="C21" s="23"/>
      <c r="D21" s="23"/>
      <c r="E21" s="23"/>
      <c r="F21" s="23"/>
    </row>
    <row r="22" spans="1:6" ht="16.5">
      <c r="A22" s="23"/>
      <c r="B22" s="23"/>
      <c r="C22" s="23"/>
      <c r="D22" s="23"/>
      <c r="E22" s="23"/>
      <c r="F22" s="23"/>
    </row>
    <row r="23" spans="1:6" ht="16.5">
      <c r="A23" s="23"/>
      <c r="B23" s="23"/>
      <c r="C23" s="23"/>
      <c r="D23" s="23"/>
      <c r="E23" s="23"/>
      <c r="F23" s="23"/>
    </row>
    <row r="24" spans="1:6" ht="16.5">
      <c r="A24" s="23"/>
      <c r="B24" s="23"/>
      <c r="C24" s="23"/>
      <c r="D24" s="23"/>
      <c r="E24" s="23"/>
      <c r="F24" s="23"/>
    </row>
    <row r="25" spans="1:6" ht="16.5">
      <c r="A25" s="23"/>
      <c r="B25" s="23"/>
      <c r="C25" s="23"/>
      <c r="D25" s="23"/>
      <c r="E25" s="23"/>
      <c r="F25" s="23"/>
    </row>
    <row r="26" spans="1:6" ht="16.5">
      <c r="A26" s="23"/>
      <c r="B26" s="23"/>
      <c r="C26" s="23"/>
      <c r="D26" s="23"/>
      <c r="E26" s="23"/>
      <c r="F26" s="23"/>
    </row>
    <row r="27" spans="1:6" ht="17.25" thickBot="1">
      <c r="A27" s="23"/>
      <c r="B27" s="23"/>
      <c r="C27" s="23"/>
      <c r="D27" s="23"/>
      <c r="E27" s="23"/>
      <c r="F27" s="64">
        <f>SUM(F15:F26)</f>
        <v>30000</v>
      </c>
    </row>
    <row r="28" spans="1:6" ht="17.25" thickTop="1">
      <c r="A28" s="23"/>
      <c r="B28" s="23"/>
      <c r="C28" s="23"/>
      <c r="D28" s="23"/>
      <c r="E28" s="23"/>
      <c r="F28" s="23"/>
    </row>
    <row r="29" spans="1:6" ht="16.5">
      <c r="A29" s="23"/>
      <c r="B29" s="23"/>
      <c r="C29" s="23"/>
      <c r="D29" s="23"/>
      <c r="E29" s="23"/>
      <c r="F29" s="23"/>
    </row>
    <row r="30" spans="1:6" ht="20.100000000000001" customHeight="1">
      <c r="A30" s="63" t="s">
        <v>300</v>
      </c>
      <c r="B30" s="27"/>
      <c r="C30" s="26"/>
      <c r="D30" s="26"/>
      <c r="E30" s="26"/>
      <c r="F30" s="26"/>
    </row>
    <row r="31" spans="1:6" ht="16.5">
      <c r="A31" s="25" t="s">
        <v>11</v>
      </c>
      <c r="B31" s="23"/>
      <c r="C31" s="23"/>
      <c r="D31" s="23"/>
      <c r="E31" s="23"/>
      <c r="F31" s="23"/>
    </row>
    <row r="32" spans="1:6" ht="16.5">
      <c r="A32" s="23" t="s">
        <v>10</v>
      </c>
      <c r="B32" s="23"/>
      <c r="C32" s="23"/>
      <c r="D32" s="23"/>
      <c r="E32" s="23"/>
    </row>
    <row r="33" spans="1:6" ht="17.25" thickBot="1">
      <c r="A33" s="23"/>
      <c r="B33" s="23"/>
      <c r="C33" s="23"/>
      <c r="D33" s="23"/>
      <c r="E33" s="23"/>
      <c r="F33" s="64">
        <f>SUM(F20:F32)</f>
        <v>30000</v>
      </c>
    </row>
    <row r="34" spans="1:6" ht="17.25" thickTop="1">
      <c r="A34" s="23"/>
      <c r="B34" s="23"/>
      <c r="C34" s="23"/>
      <c r="D34" s="23"/>
      <c r="E34" s="23"/>
      <c r="F34" s="23"/>
    </row>
    <row r="35" spans="1:6" ht="16.5">
      <c r="A35" s="23" t="s">
        <v>9</v>
      </c>
      <c r="B35" s="23"/>
      <c r="C35" s="62"/>
      <c r="D35" s="23"/>
      <c r="E35" s="23"/>
      <c r="F35" s="23"/>
    </row>
    <row r="36" spans="1:6" ht="16.5">
      <c r="A36" s="23"/>
      <c r="B36" s="23"/>
      <c r="C36" s="23"/>
      <c r="D36" s="23"/>
      <c r="E36" s="23"/>
      <c r="F36" s="23"/>
    </row>
    <row r="37" spans="1:6" ht="16.5">
      <c r="A37" s="23"/>
      <c r="B37" s="23"/>
      <c r="C37" s="23"/>
      <c r="D37" s="23"/>
      <c r="E37" s="23"/>
      <c r="F37" s="23"/>
    </row>
    <row r="38" spans="1:6" ht="16.5">
      <c r="A38" s="61" t="s">
        <v>8</v>
      </c>
      <c r="B38" s="23"/>
      <c r="C38" s="23"/>
      <c r="D38" s="61" t="s">
        <v>7</v>
      </c>
      <c r="E38" s="23"/>
      <c r="F38" s="60"/>
    </row>
    <row r="39" spans="1:6" ht="25.5">
      <c r="A39" s="24"/>
      <c r="B39" s="23"/>
      <c r="C39" s="23"/>
      <c r="D39" s="265" t="s">
        <v>2894</v>
      </c>
      <c r="E39" s="266"/>
      <c r="F39" s="267"/>
    </row>
    <row r="40" spans="1:6" ht="16.5">
      <c r="A40" s="23"/>
      <c r="B40" s="23"/>
      <c r="C40" s="23"/>
      <c r="D40" s="23"/>
      <c r="E40" s="23"/>
      <c r="F40" s="23"/>
    </row>
    <row r="41" spans="1:6" ht="16.5">
      <c r="A41" s="23"/>
      <c r="B41" s="23"/>
      <c r="C41" s="23"/>
      <c r="D41" s="23"/>
      <c r="E41" s="23"/>
      <c r="F41" s="23"/>
    </row>
    <row r="42" spans="1:6" ht="16.5">
      <c r="A42" s="23" t="s">
        <v>6</v>
      </c>
      <c r="B42" s="23"/>
      <c r="C42" s="23"/>
      <c r="D42" s="23" t="s">
        <v>5</v>
      </c>
      <c r="E42" s="23"/>
      <c r="F42" s="23"/>
    </row>
    <row r="43" spans="1:6" s="3" customFormat="1" ht="17.100000000000001" customHeight="1">
      <c r="A43" s="59" t="s">
        <v>4</v>
      </c>
      <c r="B43" s="59"/>
      <c r="C43" s="24"/>
      <c r="D43" s="24" t="s">
        <v>3</v>
      </c>
      <c r="E43" s="24"/>
      <c r="F43" s="24"/>
    </row>
    <row r="44" spans="1:6" ht="16.5">
      <c r="A44" s="23"/>
      <c r="B44" s="23"/>
      <c r="C44" s="23"/>
      <c r="D44" s="23" t="s">
        <v>2</v>
      </c>
      <c r="E44" s="23"/>
      <c r="F44" s="23"/>
    </row>
    <row r="45" spans="1:6" ht="16.5">
      <c r="A45" s="23"/>
      <c r="B45" s="23"/>
      <c r="C45" s="23"/>
      <c r="D45" s="23"/>
      <c r="E45" s="23"/>
      <c r="F45" s="23"/>
    </row>
    <row r="46" spans="1:6" ht="16.5">
      <c r="A46" s="23"/>
      <c r="B46" s="23"/>
      <c r="C46" s="23"/>
      <c r="D46" s="58" t="s">
        <v>1</v>
      </c>
      <c r="E46" s="23"/>
      <c r="F46" s="23"/>
    </row>
    <row r="47" spans="1:6" ht="16.5">
      <c r="A47" s="23"/>
      <c r="B47" s="23"/>
      <c r="C47" s="23"/>
      <c r="D47" s="58" t="s">
        <v>0</v>
      </c>
      <c r="E47" s="23"/>
      <c r="F47" s="23"/>
    </row>
    <row r="48" spans="1:6" ht="16.5">
      <c r="A48" s="23"/>
      <c r="B48" s="23"/>
      <c r="C48" s="23"/>
      <c r="D48" s="23"/>
      <c r="E48" s="23"/>
      <c r="F48" s="23"/>
    </row>
    <row r="49" spans="1:6" ht="16.5">
      <c r="A49" s="23"/>
      <c r="B49" s="23"/>
      <c r="C49" s="23"/>
      <c r="D49" s="23"/>
      <c r="E49" s="23"/>
      <c r="F49" s="23"/>
    </row>
    <row r="50" spans="1:6" ht="16.5">
      <c r="A50" s="278" t="s">
        <v>2948</v>
      </c>
      <c r="B50" s="23"/>
      <c r="C50" s="23" t="s">
        <v>299</v>
      </c>
      <c r="D50" s="23"/>
      <c r="E50" s="23"/>
      <c r="F50" s="23"/>
    </row>
    <row r="51" spans="1:6" ht="16.5">
      <c r="A51" s="23"/>
      <c r="B51" s="23"/>
      <c r="C51" s="23" t="s">
        <v>298</v>
      </c>
      <c r="D51" s="23"/>
      <c r="E51" s="23"/>
      <c r="F51" s="23"/>
    </row>
    <row r="52" spans="1:6" ht="16.5">
      <c r="A52" s="23"/>
      <c r="B52" s="23"/>
      <c r="C52" s="23" t="s">
        <v>297</v>
      </c>
      <c r="D52" s="23"/>
      <c r="E52" s="23"/>
      <c r="F52" s="23"/>
    </row>
    <row r="53" spans="1:6" ht="16.5">
      <c r="A53" s="23"/>
      <c r="B53" s="23"/>
      <c r="C53" s="23"/>
      <c r="D53" s="23"/>
      <c r="E53" s="23"/>
      <c r="F53" s="23"/>
    </row>
    <row r="54" spans="1:6" ht="16.5">
      <c r="A54" s="23"/>
      <c r="B54" s="23"/>
      <c r="C54" s="23"/>
      <c r="D54" s="23"/>
      <c r="E54" s="23"/>
      <c r="F54" s="23"/>
    </row>
    <row r="55" spans="1:6" ht="16.5">
      <c r="A55" s="23"/>
      <c r="B55" s="23"/>
      <c r="C55" s="23"/>
      <c r="D55" s="23"/>
      <c r="E55" s="23"/>
      <c r="F55" s="23"/>
    </row>
    <row r="56" spans="1:6" ht="16.5">
      <c r="A56" s="23"/>
      <c r="B56" s="23"/>
      <c r="C56" s="23"/>
      <c r="D56" s="23"/>
      <c r="E56" s="23"/>
      <c r="F56" s="23"/>
    </row>
    <row r="57" spans="1:6" ht="16.5">
      <c r="A57" s="23"/>
      <c r="B57" s="23"/>
      <c r="C57" s="23"/>
      <c r="D57" s="23"/>
      <c r="E57" s="23"/>
      <c r="F57" s="23"/>
    </row>
    <row r="58" spans="1:6" ht="16.5">
      <c r="A58" s="23"/>
      <c r="B58" s="23"/>
      <c r="C58" s="23"/>
      <c r="D58" s="23"/>
      <c r="E58" s="23"/>
      <c r="F58" s="23"/>
    </row>
    <row r="59" spans="1:6" ht="16.5">
      <c r="A59" s="23"/>
      <c r="B59" s="23"/>
      <c r="C59" s="23"/>
      <c r="D59" s="23"/>
      <c r="E59" s="23"/>
      <c r="F59" s="23"/>
    </row>
    <row r="60" spans="1:6" ht="16.5">
      <c r="A60" s="23"/>
      <c r="B60" s="23"/>
      <c r="C60" s="23"/>
      <c r="D60" s="23"/>
      <c r="E60" s="23"/>
      <c r="F60" s="23"/>
    </row>
    <row r="61" spans="1:6" ht="16.5">
      <c r="A61" s="23"/>
      <c r="B61" s="23"/>
      <c r="C61" s="23"/>
      <c r="D61" s="23"/>
      <c r="E61" s="23"/>
      <c r="F61" s="23"/>
    </row>
    <row r="62" spans="1:6" ht="16.5">
      <c r="A62" s="23"/>
      <c r="B62" s="23"/>
      <c r="C62" s="23"/>
      <c r="D62" s="23"/>
      <c r="E62" s="23"/>
      <c r="F62" s="23"/>
    </row>
    <row r="63" spans="1:6" ht="16.5">
      <c r="A63" s="23"/>
      <c r="B63" s="23"/>
      <c r="C63" s="23"/>
      <c r="D63" s="23"/>
      <c r="E63" s="23"/>
      <c r="F63" s="23"/>
    </row>
    <row r="64" spans="1:6" ht="16.5">
      <c r="A64" s="23"/>
      <c r="B64" s="23"/>
      <c r="C64" s="23"/>
      <c r="D64" s="23"/>
      <c r="E64" s="23"/>
      <c r="F64" s="23"/>
    </row>
    <row r="65" spans="1:6" ht="16.5">
      <c r="A65" s="23"/>
      <c r="B65" s="23"/>
      <c r="C65" s="23"/>
      <c r="D65" s="23"/>
      <c r="E65" s="23"/>
      <c r="F65" s="23"/>
    </row>
    <row r="66" spans="1:6" ht="16.5">
      <c r="A66" s="23"/>
      <c r="B66" s="23"/>
      <c r="C66" s="23"/>
      <c r="D66" s="23"/>
      <c r="E66" s="23"/>
      <c r="F66" s="23"/>
    </row>
    <row r="67" spans="1:6" ht="16.5">
      <c r="A67" s="23"/>
      <c r="B67" s="23"/>
      <c r="C67" s="23"/>
      <c r="D67" s="23"/>
      <c r="E67" s="23"/>
      <c r="F67" s="23"/>
    </row>
    <row r="68" spans="1:6" ht="16.5">
      <c r="A68" s="23"/>
      <c r="B68" s="23"/>
      <c r="C68" s="23"/>
      <c r="D68" s="23"/>
      <c r="E68" s="23"/>
      <c r="F68" s="23"/>
    </row>
    <row r="69" spans="1:6" ht="16.5">
      <c r="A69" s="23"/>
      <c r="B69" s="23"/>
      <c r="C69" s="23"/>
      <c r="D69" s="23"/>
      <c r="E69" s="23"/>
      <c r="F69" s="23"/>
    </row>
    <row r="70" spans="1:6" ht="16.5">
      <c r="A70" s="23"/>
      <c r="B70" s="23"/>
      <c r="C70" s="23"/>
      <c r="D70" s="23"/>
      <c r="E70" s="23"/>
      <c r="F70" s="23"/>
    </row>
    <row r="71" spans="1:6" ht="16.5">
      <c r="A71" s="23"/>
      <c r="B71" s="23"/>
      <c r="C71" s="23"/>
      <c r="D71" s="23"/>
      <c r="E71" s="23"/>
      <c r="F71" s="23"/>
    </row>
    <row r="72" spans="1:6" ht="16.5">
      <c r="A72" s="23"/>
      <c r="B72" s="23"/>
      <c r="C72" s="23"/>
      <c r="D72" s="23"/>
      <c r="E72" s="23"/>
      <c r="F72" s="23"/>
    </row>
    <row r="73" spans="1:6" ht="16.5">
      <c r="A73" s="23"/>
      <c r="B73" s="23"/>
      <c r="C73" s="23"/>
      <c r="D73" s="23"/>
      <c r="E73" s="23"/>
      <c r="F73" s="23"/>
    </row>
    <row r="74" spans="1:6" ht="16.5">
      <c r="A74" s="23"/>
      <c r="B74" s="23"/>
      <c r="C74" s="23"/>
      <c r="D74" s="23"/>
      <c r="E74" s="23"/>
      <c r="F74" s="23"/>
    </row>
    <row r="75" spans="1:6" ht="16.5">
      <c r="A75" s="23"/>
      <c r="B75" s="23"/>
      <c r="C75" s="23"/>
      <c r="D75" s="23"/>
      <c r="E75" s="23"/>
      <c r="F75" s="23"/>
    </row>
    <row r="76" spans="1:6" ht="16.5">
      <c r="A76" s="23"/>
      <c r="B76" s="23"/>
      <c r="C76" s="23"/>
      <c r="D76" s="23"/>
      <c r="E76" s="23"/>
      <c r="F76" s="23"/>
    </row>
    <row r="77" spans="1:6" ht="16.5">
      <c r="A77" s="23"/>
      <c r="B77" s="23"/>
      <c r="C77" s="23"/>
      <c r="D77" s="23"/>
      <c r="E77" s="23"/>
      <c r="F77" s="23"/>
    </row>
    <row r="78" spans="1:6" ht="16.5">
      <c r="A78" s="23"/>
      <c r="B78" s="23"/>
      <c r="C78" s="23"/>
      <c r="D78" s="23"/>
      <c r="E78" s="23"/>
      <c r="F78" s="23"/>
    </row>
    <row r="79" spans="1:6" ht="16.5">
      <c r="A79" s="23"/>
      <c r="B79" s="23"/>
      <c r="C79" s="23"/>
      <c r="D79" s="23"/>
      <c r="E79" s="23"/>
      <c r="F79" s="23"/>
    </row>
    <row r="80" spans="1:6" ht="16.5">
      <c r="A80" s="23"/>
      <c r="B80" s="23"/>
      <c r="C80" s="23"/>
      <c r="D80" s="23"/>
      <c r="E80" s="23"/>
      <c r="F80" s="23"/>
    </row>
    <row r="81" spans="1:6" ht="16.5">
      <c r="A81" s="23"/>
      <c r="B81" s="23"/>
      <c r="C81" s="23"/>
      <c r="D81" s="23"/>
      <c r="E81" s="23"/>
      <c r="F81" s="23"/>
    </row>
    <row r="82" spans="1:6" ht="16.5">
      <c r="A82" s="23"/>
      <c r="B82" s="23"/>
      <c r="C82" s="23"/>
      <c r="D82" s="23"/>
      <c r="E82" s="23"/>
      <c r="F82" s="23"/>
    </row>
    <row r="83" spans="1:6" ht="16.5">
      <c r="A83" s="23"/>
      <c r="B83" s="23"/>
      <c r="C83" s="23"/>
      <c r="D83" s="23"/>
      <c r="E83" s="23"/>
      <c r="F83" s="23"/>
    </row>
    <row r="84" spans="1:6" ht="16.5">
      <c r="A84" s="23"/>
      <c r="B84" s="23"/>
      <c r="C84" s="23"/>
      <c r="D84" s="23"/>
      <c r="E84" s="23"/>
      <c r="F84" s="23"/>
    </row>
    <row r="85" spans="1:6" ht="16.5">
      <c r="A85" s="23"/>
      <c r="B85" s="23"/>
      <c r="C85" s="23"/>
      <c r="D85" s="23"/>
      <c r="E85" s="23"/>
      <c r="F85" s="23"/>
    </row>
    <row r="86" spans="1:6" ht="16.5">
      <c r="A86" s="23"/>
      <c r="B86" s="23"/>
      <c r="C86" s="23"/>
      <c r="D86" s="23"/>
      <c r="E86" s="23"/>
      <c r="F86" s="23"/>
    </row>
    <row r="87" spans="1:6" ht="16.5">
      <c r="A87" s="23"/>
      <c r="B87" s="23"/>
      <c r="C87" s="23"/>
      <c r="D87" s="23"/>
      <c r="E87" s="23"/>
      <c r="F87" s="23"/>
    </row>
    <row r="88" spans="1:6" ht="16.5">
      <c r="A88" s="23"/>
      <c r="B88" s="23"/>
      <c r="C88" s="23"/>
      <c r="D88" s="23"/>
      <c r="E88" s="23"/>
      <c r="F88" s="23"/>
    </row>
    <row r="89" spans="1:6" ht="16.5">
      <c r="A89" s="23"/>
      <c r="B89" s="23"/>
      <c r="C89" s="23"/>
      <c r="D89" s="23"/>
      <c r="E89" s="23"/>
      <c r="F89" s="23"/>
    </row>
    <row r="90" spans="1:6" ht="16.5">
      <c r="A90" s="23"/>
      <c r="B90" s="23"/>
      <c r="C90" s="23"/>
      <c r="D90" s="23"/>
      <c r="E90" s="23"/>
      <c r="F90" s="23"/>
    </row>
    <row r="91" spans="1:6" ht="16.5">
      <c r="A91" s="23"/>
      <c r="B91" s="23"/>
      <c r="C91" s="23"/>
      <c r="D91" s="23"/>
      <c r="E91" s="23"/>
      <c r="F91" s="23"/>
    </row>
    <row r="92" spans="1:6" ht="16.5">
      <c r="A92" s="23"/>
      <c r="B92" s="23"/>
      <c r="C92" s="23"/>
      <c r="D92" s="23"/>
      <c r="E92" s="23"/>
      <c r="F92" s="23"/>
    </row>
    <row r="93" spans="1:6" ht="16.5">
      <c r="A93" s="23"/>
      <c r="B93" s="23"/>
      <c r="C93" s="23"/>
      <c r="D93" s="23"/>
      <c r="E93" s="23"/>
      <c r="F93" s="23"/>
    </row>
    <row r="94" spans="1:6" ht="16.5">
      <c r="A94" s="23"/>
      <c r="B94" s="23"/>
      <c r="C94" s="23"/>
      <c r="D94" s="23"/>
      <c r="E94" s="23"/>
      <c r="F94" s="23"/>
    </row>
    <row r="95" spans="1:6" ht="16.5">
      <c r="A95" s="23"/>
      <c r="B95" s="23"/>
      <c r="C95" s="23"/>
      <c r="D95" s="23"/>
      <c r="E95" s="23"/>
      <c r="F95" s="23"/>
    </row>
    <row r="96" spans="1:6" ht="16.5">
      <c r="A96" s="23"/>
      <c r="B96" s="23"/>
      <c r="C96" s="23"/>
      <c r="D96" s="23"/>
      <c r="E96" s="23"/>
      <c r="F96" s="23"/>
    </row>
    <row r="97" spans="1:6" ht="16.5">
      <c r="A97" s="23"/>
      <c r="B97" s="23"/>
      <c r="C97" s="23"/>
      <c r="D97" s="23"/>
      <c r="E97" s="23"/>
      <c r="F97" s="23"/>
    </row>
    <row r="98" spans="1:6" ht="16.5">
      <c r="A98" s="23"/>
      <c r="B98" s="23"/>
      <c r="C98" s="23"/>
      <c r="D98" s="23"/>
      <c r="E98" s="23"/>
      <c r="F98" s="23"/>
    </row>
    <row r="99" spans="1:6" ht="16.5">
      <c r="A99" s="23"/>
      <c r="B99" s="23"/>
      <c r="C99" s="23"/>
      <c r="D99" s="23"/>
      <c r="E99" s="23"/>
      <c r="F99" s="23"/>
    </row>
    <row r="100" spans="1:6" ht="16.5">
      <c r="A100" s="23"/>
      <c r="B100" s="23"/>
      <c r="C100" s="23"/>
      <c r="D100" s="23"/>
      <c r="E100" s="23"/>
      <c r="F100" s="23"/>
    </row>
    <row r="101" spans="1:6" ht="16.5">
      <c r="A101" s="23"/>
      <c r="B101" s="23"/>
      <c r="C101" s="23"/>
      <c r="D101" s="23"/>
      <c r="E101" s="23"/>
      <c r="F101" s="23"/>
    </row>
    <row r="102" spans="1:6" ht="16.5">
      <c r="A102" s="23"/>
      <c r="B102" s="23"/>
      <c r="C102" s="23"/>
      <c r="D102" s="23"/>
      <c r="E102" s="23"/>
      <c r="F102" s="23"/>
    </row>
    <row r="103" spans="1:6" ht="16.5">
      <c r="A103" s="23"/>
      <c r="B103" s="23"/>
      <c r="C103" s="23"/>
      <c r="D103" s="23"/>
      <c r="E103" s="23"/>
      <c r="F103" s="23"/>
    </row>
    <row r="104" spans="1:6" ht="16.5">
      <c r="A104" s="23"/>
      <c r="B104" s="23"/>
      <c r="C104" s="23"/>
      <c r="D104" s="23"/>
      <c r="E104" s="23"/>
      <c r="F104" s="23"/>
    </row>
    <row r="105" spans="1:6" ht="16.5">
      <c r="A105" s="23"/>
      <c r="B105" s="23"/>
      <c r="C105" s="23"/>
      <c r="D105" s="23"/>
      <c r="E105" s="23"/>
      <c r="F105" s="23"/>
    </row>
    <row r="106" spans="1:6" ht="16.5">
      <c r="A106" s="23"/>
      <c r="B106" s="23"/>
      <c r="C106" s="23"/>
      <c r="D106" s="23"/>
      <c r="E106" s="23"/>
      <c r="F106" s="23"/>
    </row>
    <row r="107" spans="1:6" ht="16.5">
      <c r="A107" s="23"/>
      <c r="B107" s="23"/>
      <c r="C107" s="23"/>
      <c r="D107" s="23"/>
      <c r="E107" s="23"/>
      <c r="F107" s="23"/>
    </row>
    <row r="108" spans="1:6" ht="16.5">
      <c r="A108" s="23"/>
      <c r="B108" s="23"/>
      <c r="C108" s="23"/>
      <c r="D108" s="23"/>
      <c r="E108" s="23"/>
      <c r="F108" s="23"/>
    </row>
    <row r="109" spans="1:6" ht="16.5">
      <c r="A109" s="23"/>
      <c r="B109" s="23"/>
      <c r="C109" s="23"/>
      <c r="D109" s="23"/>
      <c r="E109" s="23"/>
      <c r="F109" s="23"/>
    </row>
    <row r="110" spans="1:6" ht="16.5">
      <c r="A110" s="23"/>
      <c r="B110" s="23"/>
      <c r="C110" s="23"/>
      <c r="D110" s="23"/>
      <c r="E110" s="23"/>
      <c r="F110" s="23"/>
    </row>
    <row r="111" spans="1:6" ht="16.5">
      <c r="A111" s="23"/>
      <c r="B111" s="23"/>
      <c r="C111" s="23"/>
      <c r="D111" s="23"/>
      <c r="E111" s="23"/>
      <c r="F111" s="23"/>
    </row>
    <row r="112" spans="1:6" ht="16.5">
      <c r="A112" s="23"/>
      <c r="B112" s="23"/>
      <c r="C112" s="23"/>
      <c r="D112" s="23"/>
      <c r="E112" s="23"/>
      <c r="F112" s="23"/>
    </row>
    <row r="113" spans="1:6" ht="16.5">
      <c r="A113" s="23"/>
      <c r="B113" s="23"/>
      <c r="C113" s="23"/>
      <c r="D113" s="23"/>
      <c r="E113" s="23"/>
      <c r="F113" s="23"/>
    </row>
    <row r="114" spans="1:6" ht="16.5">
      <c r="A114" s="23"/>
      <c r="B114" s="23"/>
      <c r="C114" s="23"/>
      <c r="D114" s="23"/>
      <c r="E114" s="23"/>
      <c r="F114" s="23"/>
    </row>
    <row r="115" spans="1:6" ht="16.5">
      <c r="A115" s="23"/>
      <c r="B115" s="23"/>
      <c r="C115" s="23"/>
      <c r="D115" s="23"/>
      <c r="E115" s="23"/>
      <c r="F115" s="23"/>
    </row>
    <row r="116" spans="1:6" ht="16.5">
      <c r="A116" s="23"/>
      <c r="B116" s="23"/>
      <c r="C116" s="23"/>
      <c r="D116" s="23"/>
      <c r="E116" s="23"/>
      <c r="F116" s="23"/>
    </row>
    <row r="117" spans="1:6" ht="16.5">
      <c r="A117" s="23"/>
      <c r="B117" s="23"/>
      <c r="C117" s="23"/>
      <c r="D117" s="23"/>
      <c r="E117" s="23"/>
      <c r="F117" s="23"/>
    </row>
    <row r="118" spans="1:6" ht="16.5">
      <c r="A118" s="23"/>
      <c r="B118" s="23"/>
      <c r="C118" s="23"/>
      <c r="D118" s="23"/>
      <c r="E118" s="23"/>
      <c r="F118" s="23"/>
    </row>
    <row r="119" spans="1:6" ht="16.5">
      <c r="A119" s="23"/>
      <c r="B119" s="23"/>
      <c r="C119" s="23"/>
      <c r="D119" s="23"/>
      <c r="E119" s="23"/>
      <c r="F119" s="23"/>
    </row>
    <row r="120" spans="1:6" ht="16.5">
      <c r="A120" s="23"/>
      <c r="B120" s="23"/>
      <c r="C120" s="23"/>
      <c r="D120" s="23"/>
      <c r="E120" s="23"/>
      <c r="F120" s="23"/>
    </row>
    <row r="121" spans="1:6" ht="16.5">
      <c r="A121" s="23"/>
      <c r="B121" s="23"/>
      <c r="C121" s="23"/>
      <c r="D121" s="23"/>
      <c r="E121" s="23"/>
      <c r="F121" s="23"/>
    </row>
    <row r="122" spans="1:6" ht="16.5">
      <c r="A122" s="23"/>
      <c r="B122" s="23"/>
      <c r="C122" s="23"/>
      <c r="D122" s="23"/>
      <c r="E122" s="23"/>
      <c r="F122" s="23"/>
    </row>
    <row r="123" spans="1:6" ht="16.5">
      <c r="A123" s="23"/>
      <c r="B123" s="23"/>
      <c r="C123" s="23"/>
      <c r="D123" s="23"/>
      <c r="E123" s="23"/>
      <c r="F123" s="23"/>
    </row>
    <row r="124" spans="1:6" ht="16.5">
      <c r="A124" s="23"/>
      <c r="B124" s="23"/>
      <c r="C124" s="23"/>
      <c r="D124" s="23"/>
      <c r="E124" s="23"/>
      <c r="F124" s="23"/>
    </row>
    <row r="125" spans="1:6" ht="16.5">
      <c r="A125" s="23"/>
      <c r="B125" s="23"/>
      <c r="C125" s="23"/>
      <c r="D125" s="23"/>
      <c r="E125" s="23"/>
      <c r="F125" s="23"/>
    </row>
    <row r="126" spans="1:6" ht="16.5">
      <c r="A126" s="23"/>
      <c r="B126" s="23"/>
      <c r="C126" s="23"/>
      <c r="D126" s="23"/>
      <c r="E126" s="23"/>
      <c r="F126" s="23"/>
    </row>
    <row r="127" spans="1:6" ht="16.5">
      <c r="A127" s="23"/>
      <c r="B127" s="23"/>
      <c r="C127" s="23"/>
      <c r="D127" s="23"/>
      <c r="E127" s="23"/>
      <c r="F127" s="23"/>
    </row>
    <row r="128" spans="1:6" ht="16.5">
      <c r="A128" s="23"/>
      <c r="B128" s="23"/>
      <c r="C128" s="23"/>
      <c r="D128" s="23"/>
      <c r="E128" s="23"/>
      <c r="F128" s="23"/>
    </row>
    <row r="129" spans="1:6" ht="16.5">
      <c r="A129" s="23"/>
      <c r="B129" s="23"/>
      <c r="C129" s="23"/>
      <c r="D129" s="23"/>
      <c r="E129" s="23"/>
      <c r="F129" s="23"/>
    </row>
    <row r="130" spans="1:6" ht="16.5">
      <c r="A130" s="23"/>
      <c r="B130" s="23"/>
      <c r="C130" s="23"/>
      <c r="D130" s="23"/>
      <c r="E130" s="23"/>
      <c r="F130" s="23"/>
    </row>
    <row r="131" spans="1:6" ht="16.5">
      <c r="A131" s="23"/>
      <c r="B131" s="23"/>
      <c r="C131" s="23"/>
      <c r="D131" s="23"/>
      <c r="E131" s="23"/>
      <c r="F131" s="23"/>
    </row>
    <row r="132" spans="1:6" ht="16.5">
      <c r="A132" s="23"/>
      <c r="B132" s="23"/>
      <c r="C132" s="23"/>
      <c r="D132" s="23"/>
      <c r="E132" s="23"/>
      <c r="F132" s="23"/>
    </row>
    <row r="133" spans="1:6" ht="16.5">
      <c r="A133" s="23"/>
      <c r="B133" s="23"/>
      <c r="C133" s="23"/>
      <c r="D133" s="23"/>
      <c r="E133" s="23"/>
      <c r="F133" s="23"/>
    </row>
    <row r="134" spans="1:6" ht="16.5">
      <c r="A134" s="23"/>
      <c r="B134" s="23"/>
      <c r="C134" s="23"/>
      <c r="D134" s="23"/>
      <c r="E134" s="23"/>
      <c r="F134" s="23"/>
    </row>
    <row r="135" spans="1:6" ht="16.5">
      <c r="A135" s="23"/>
      <c r="B135" s="23"/>
      <c r="C135" s="23"/>
      <c r="D135" s="23"/>
      <c r="E135" s="23"/>
      <c r="F135" s="23"/>
    </row>
    <row r="136" spans="1:6" ht="16.5">
      <c r="A136" s="23"/>
      <c r="B136" s="23"/>
      <c r="C136" s="23"/>
      <c r="D136" s="23"/>
      <c r="E136" s="23"/>
      <c r="F136" s="23"/>
    </row>
    <row r="137" spans="1:6" ht="16.5">
      <c r="A137" s="23"/>
      <c r="B137" s="23"/>
      <c r="C137" s="23"/>
      <c r="D137" s="23"/>
      <c r="E137" s="23"/>
      <c r="F137" s="23"/>
    </row>
    <row r="138" spans="1:6" ht="16.5">
      <c r="A138" s="23"/>
      <c r="B138" s="23"/>
      <c r="C138" s="23"/>
      <c r="D138" s="23"/>
      <c r="E138" s="23"/>
      <c r="F138" s="23"/>
    </row>
    <row r="139" spans="1:6" ht="16.5">
      <c r="A139" s="23"/>
      <c r="B139" s="23"/>
      <c r="C139" s="23"/>
      <c r="D139" s="23"/>
      <c r="E139" s="23"/>
      <c r="F139" s="23"/>
    </row>
    <row r="140" spans="1:6" ht="16.5">
      <c r="A140" s="23"/>
      <c r="B140" s="23"/>
      <c r="C140" s="23"/>
      <c r="D140" s="23"/>
      <c r="E140" s="23"/>
      <c r="F140" s="23"/>
    </row>
    <row r="141" spans="1:6" ht="16.5">
      <c r="A141" s="23"/>
      <c r="B141" s="23"/>
      <c r="C141" s="23"/>
      <c r="D141" s="23"/>
      <c r="E141" s="23"/>
      <c r="F141" s="23"/>
    </row>
    <row r="142" spans="1:6" ht="16.5">
      <c r="A142" s="23"/>
      <c r="B142" s="23"/>
      <c r="C142" s="23"/>
      <c r="D142" s="23"/>
      <c r="E142" s="23"/>
      <c r="F142" s="23"/>
    </row>
    <row r="143" spans="1:6" ht="16.5">
      <c r="A143" s="23"/>
      <c r="B143" s="23"/>
      <c r="C143" s="23"/>
      <c r="D143" s="23"/>
      <c r="E143" s="23"/>
      <c r="F143" s="23"/>
    </row>
    <row r="144" spans="1:6" ht="16.5">
      <c r="A144" s="23"/>
      <c r="B144" s="23"/>
      <c r="C144" s="23"/>
      <c r="D144" s="23"/>
      <c r="E144" s="23"/>
      <c r="F144" s="23"/>
    </row>
    <row r="145" spans="1:6" ht="16.5">
      <c r="A145" s="23"/>
      <c r="B145" s="23"/>
      <c r="C145" s="23"/>
      <c r="D145" s="23"/>
      <c r="E145" s="23"/>
      <c r="F145" s="23"/>
    </row>
    <row r="146" spans="1:6" ht="16.5">
      <c r="A146" s="23"/>
      <c r="B146" s="23"/>
      <c r="C146" s="23"/>
      <c r="D146" s="23"/>
      <c r="E146" s="23"/>
      <c r="F146" s="23"/>
    </row>
    <row r="147" spans="1:6" ht="16.5">
      <c r="A147" s="23"/>
      <c r="B147" s="23"/>
      <c r="C147" s="23"/>
      <c r="D147" s="23"/>
      <c r="E147" s="23"/>
      <c r="F147" s="23"/>
    </row>
    <row r="148" spans="1:6" ht="16.5">
      <c r="A148" s="23"/>
      <c r="B148" s="23"/>
      <c r="C148" s="23"/>
      <c r="D148" s="23"/>
      <c r="E148" s="23"/>
      <c r="F148" s="23"/>
    </row>
    <row r="149" spans="1:6" ht="16.5">
      <c r="A149" s="23"/>
      <c r="B149" s="23"/>
      <c r="C149" s="23"/>
      <c r="D149" s="23"/>
      <c r="E149" s="23"/>
      <c r="F149" s="23"/>
    </row>
    <row r="150" spans="1:6" ht="16.5">
      <c r="A150" s="23"/>
      <c r="B150" s="23"/>
      <c r="C150" s="23"/>
      <c r="D150" s="23"/>
      <c r="E150" s="23"/>
      <c r="F150" s="23"/>
    </row>
    <row r="151" spans="1:6" ht="16.5">
      <c r="A151" s="23"/>
      <c r="B151" s="23"/>
      <c r="C151" s="23"/>
      <c r="D151" s="23"/>
      <c r="E151" s="23"/>
      <c r="F151" s="23"/>
    </row>
    <row r="152" spans="1:6" ht="16.5">
      <c r="A152" s="23"/>
      <c r="B152" s="23"/>
      <c r="C152" s="23"/>
      <c r="D152" s="23"/>
      <c r="E152" s="23"/>
      <c r="F152" s="23"/>
    </row>
    <row r="153" spans="1:6" ht="16.5">
      <c r="A153" s="23"/>
      <c r="B153" s="23"/>
      <c r="C153" s="23"/>
      <c r="D153" s="23"/>
      <c r="E153" s="23"/>
      <c r="F153" s="23"/>
    </row>
    <row r="154" spans="1:6" ht="16.5">
      <c r="A154" s="23"/>
      <c r="B154" s="23"/>
      <c r="C154" s="23"/>
      <c r="D154" s="23"/>
      <c r="E154" s="23"/>
      <c r="F154" s="23"/>
    </row>
    <row r="155" spans="1:6" ht="16.5">
      <c r="A155" s="23"/>
      <c r="B155" s="23"/>
      <c r="C155" s="23"/>
      <c r="D155" s="23"/>
      <c r="E155" s="23"/>
      <c r="F155" s="23"/>
    </row>
    <row r="156" spans="1:6" ht="16.5">
      <c r="A156" s="23"/>
      <c r="B156" s="23"/>
      <c r="C156" s="23"/>
      <c r="D156" s="23"/>
      <c r="E156" s="23"/>
      <c r="F156" s="23"/>
    </row>
    <row r="157" spans="1:6" ht="16.5">
      <c r="A157" s="23"/>
      <c r="B157" s="23"/>
      <c r="C157" s="23"/>
      <c r="D157" s="23"/>
      <c r="E157" s="23"/>
      <c r="F157" s="23"/>
    </row>
    <row r="158" spans="1:6" ht="16.5">
      <c r="A158" s="23"/>
      <c r="B158" s="23"/>
      <c r="C158" s="23"/>
      <c r="D158" s="23"/>
      <c r="E158" s="23"/>
      <c r="F158" s="23"/>
    </row>
    <row r="159" spans="1:6" ht="16.5">
      <c r="A159" s="23"/>
      <c r="B159" s="23"/>
      <c r="C159" s="23"/>
      <c r="D159" s="23"/>
      <c r="E159" s="23"/>
      <c r="F159" s="23"/>
    </row>
    <row r="160" spans="1:6" ht="16.5">
      <c r="A160" s="23"/>
      <c r="B160" s="23"/>
      <c r="C160" s="23"/>
      <c r="D160" s="23"/>
      <c r="E160" s="23"/>
      <c r="F160" s="23"/>
    </row>
    <row r="161" spans="1:6" ht="16.5">
      <c r="A161" s="23"/>
      <c r="B161" s="23"/>
      <c r="C161" s="23"/>
      <c r="D161" s="23"/>
      <c r="E161" s="23"/>
      <c r="F161" s="23"/>
    </row>
    <row r="162" spans="1:6" ht="16.5">
      <c r="A162" s="23"/>
      <c r="B162" s="23"/>
      <c r="C162" s="23"/>
      <c r="D162" s="23"/>
      <c r="E162" s="23"/>
      <c r="F162" s="23"/>
    </row>
    <row r="163" spans="1:6" ht="16.5">
      <c r="A163" s="23"/>
      <c r="B163" s="23"/>
      <c r="C163" s="23"/>
      <c r="D163" s="23"/>
      <c r="E163" s="23"/>
      <c r="F163" s="23"/>
    </row>
    <row r="164" spans="1:6" ht="16.5">
      <c r="A164" s="23"/>
      <c r="B164" s="23"/>
      <c r="C164" s="23"/>
      <c r="D164" s="23"/>
      <c r="E164" s="23"/>
      <c r="F164" s="23"/>
    </row>
    <row r="165" spans="1:6" ht="16.5">
      <c r="A165" s="23"/>
      <c r="B165" s="23"/>
      <c r="C165" s="23"/>
      <c r="D165" s="23"/>
      <c r="E165" s="23"/>
      <c r="F165" s="23"/>
    </row>
    <row r="166" spans="1:6" ht="16.5">
      <c r="A166" s="23"/>
      <c r="B166" s="23"/>
      <c r="C166" s="23"/>
      <c r="D166" s="23"/>
      <c r="E166" s="23"/>
      <c r="F166" s="23"/>
    </row>
    <row r="167" spans="1:6" ht="16.5">
      <c r="A167" s="23"/>
      <c r="B167" s="23"/>
      <c r="C167" s="23"/>
      <c r="D167" s="23"/>
      <c r="E167" s="23"/>
      <c r="F167" s="23"/>
    </row>
    <row r="168" spans="1:6" ht="16.5">
      <c r="A168" s="23"/>
      <c r="B168" s="23"/>
      <c r="C168" s="23"/>
      <c r="D168" s="23"/>
      <c r="E168" s="23"/>
      <c r="F168" s="23"/>
    </row>
    <row r="169" spans="1:6" ht="16.5">
      <c r="A169" s="23"/>
      <c r="B169" s="23"/>
      <c r="C169" s="23"/>
      <c r="D169" s="23"/>
      <c r="E169" s="23"/>
      <c r="F169" s="23"/>
    </row>
    <row r="170" spans="1:6" ht="16.5">
      <c r="A170" s="23"/>
      <c r="B170" s="23"/>
      <c r="C170" s="23"/>
      <c r="D170" s="23"/>
      <c r="E170" s="23"/>
      <c r="F170" s="23"/>
    </row>
    <row r="171" spans="1:6" ht="16.5">
      <c r="A171" s="23"/>
      <c r="B171" s="23"/>
      <c r="C171" s="23"/>
      <c r="D171" s="23"/>
      <c r="E171" s="23"/>
      <c r="F171" s="23"/>
    </row>
    <row r="172" spans="1:6" ht="16.5">
      <c r="A172" s="23"/>
      <c r="B172" s="23"/>
      <c r="C172" s="23"/>
      <c r="D172" s="23"/>
      <c r="E172" s="23"/>
      <c r="F172" s="23"/>
    </row>
    <row r="173" spans="1:6" ht="16.5">
      <c r="A173" s="23"/>
      <c r="B173" s="23"/>
      <c r="C173" s="23"/>
      <c r="D173" s="23"/>
      <c r="E173" s="23"/>
      <c r="F173" s="23"/>
    </row>
    <row r="174" spans="1:6" ht="16.5">
      <c r="A174" s="23"/>
      <c r="B174" s="23"/>
      <c r="C174" s="23"/>
      <c r="D174" s="23"/>
      <c r="E174" s="23"/>
      <c r="F174" s="23"/>
    </row>
    <row r="175" spans="1:6" ht="16.5">
      <c r="A175" s="23"/>
      <c r="B175" s="23"/>
      <c r="C175" s="23"/>
      <c r="D175" s="23"/>
      <c r="E175" s="23"/>
      <c r="F175" s="23"/>
    </row>
    <row r="176" spans="1:6" ht="16.5">
      <c r="A176" s="23"/>
      <c r="B176" s="23"/>
      <c r="C176" s="23"/>
      <c r="D176" s="23"/>
      <c r="E176" s="23"/>
      <c r="F176" s="23"/>
    </row>
    <row r="177" spans="1:6" ht="16.5">
      <c r="A177" s="23"/>
      <c r="B177" s="23"/>
      <c r="C177" s="23"/>
      <c r="D177" s="23"/>
      <c r="E177" s="23"/>
      <c r="F177" s="23"/>
    </row>
    <row r="178" spans="1:6" ht="16.5">
      <c r="A178" s="23"/>
      <c r="B178" s="23"/>
      <c r="C178" s="23"/>
      <c r="D178" s="23"/>
      <c r="E178" s="23"/>
      <c r="F178" s="23"/>
    </row>
    <row r="179" spans="1:6" ht="16.5">
      <c r="A179" s="23"/>
      <c r="B179" s="23"/>
      <c r="C179" s="23"/>
      <c r="D179" s="23"/>
      <c r="E179" s="23"/>
      <c r="F179" s="23"/>
    </row>
    <row r="180" spans="1:6" ht="16.5">
      <c r="A180" s="23"/>
      <c r="B180" s="23"/>
      <c r="C180" s="23"/>
      <c r="D180" s="23"/>
      <c r="E180" s="23"/>
      <c r="F180" s="23"/>
    </row>
    <row r="181" spans="1:6" ht="16.5">
      <c r="A181" s="23"/>
      <c r="B181" s="23"/>
      <c r="C181" s="23"/>
      <c r="D181" s="23"/>
      <c r="E181" s="23"/>
      <c r="F181" s="23"/>
    </row>
    <row r="182" spans="1:6" ht="16.5">
      <c r="A182" s="23"/>
      <c r="B182" s="23"/>
      <c r="C182" s="23"/>
      <c r="D182" s="23"/>
      <c r="E182" s="23"/>
      <c r="F182" s="23"/>
    </row>
    <row r="183" spans="1:6" ht="16.5">
      <c r="A183" s="23"/>
      <c r="B183" s="23"/>
      <c r="C183" s="23"/>
      <c r="D183" s="23"/>
      <c r="E183" s="23"/>
      <c r="F183" s="23"/>
    </row>
    <row r="184" spans="1:6" ht="16.5">
      <c r="A184" s="23"/>
      <c r="B184" s="23"/>
      <c r="C184" s="23"/>
      <c r="D184" s="23"/>
      <c r="E184" s="23"/>
      <c r="F184" s="23"/>
    </row>
    <row r="185" spans="1:6" ht="16.5">
      <c r="A185" s="23"/>
      <c r="B185" s="23"/>
      <c r="C185" s="23"/>
      <c r="D185" s="23"/>
      <c r="E185" s="23"/>
      <c r="F185" s="23"/>
    </row>
    <row r="186" spans="1:6" ht="16.5">
      <c r="A186" s="23"/>
      <c r="B186" s="23"/>
      <c r="C186" s="23"/>
      <c r="D186" s="23"/>
      <c r="E186" s="23"/>
      <c r="F186" s="23"/>
    </row>
    <row r="187" spans="1:6" ht="16.5">
      <c r="A187" s="23"/>
      <c r="B187" s="23"/>
      <c r="C187" s="23"/>
      <c r="D187" s="23"/>
      <c r="E187" s="23"/>
      <c r="F187" s="23"/>
    </row>
    <row r="188" spans="1:6" ht="16.5">
      <c r="A188" s="23"/>
      <c r="B188" s="23"/>
      <c r="C188" s="23"/>
      <c r="D188" s="23"/>
      <c r="E188" s="23"/>
      <c r="F188" s="23"/>
    </row>
    <row r="189" spans="1:6" ht="16.5">
      <c r="A189" s="23"/>
      <c r="B189" s="23"/>
      <c r="C189" s="23"/>
      <c r="D189" s="23"/>
      <c r="E189" s="23"/>
      <c r="F189" s="23"/>
    </row>
    <row r="190" spans="1:6" ht="16.5">
      <c r="A190" s="23"/>
      <c r="B190" s="23"/>
      <c r="C190" s="23"/>
      <c r="D190" s="23"/>
      <c r="E190" s="23"/>
      <c r="F190" s="23"/>
    </row>
    <row r="191" spans="1:6" ht="16.5">
      <c r="A191" s="23"/>
      <c r="B191" s="23"/>
      <c r="C191" s="23"/>
      <c r="D191" s="23"/>
      <c r="E191" s="23"/>
      <c r="F191" s="23"/>
    </row>
    <row r="192" spans="1:6" ht="16.5">
      <c r="A192" s="23"/>
      <c r="B192" s="23"/>
      <c r="C192" s="23"/>
      <c r="D192" s="23"/>
      <c r="E192" s="23"/>
      <c r="F192" s="23"/>
    </row>
    <row r="193" spans="1:6" ht="16.5">
      <c r="A193" s="23"/>
      <c r="B193" s="23"/>
      <c r="C193" s="23"/>
      <c r="D193" s="23"/>
      <c r="E193" s="23"/>
      <c r="F193" s="23"/>
    </row>
    <row r="194" spans="1:6" ht="16.5">
      <c r="A194" s="23"/>
      <c r="B194" s="23"/>
      <c r="C194" s="23"/>
      <c r="D194" s="23"/>
      <c r="E194" s="23"/>
      <c r="F194" s="23"/>
    </row>
    <row r="195" spans="1:6" ht="16.5">
      <c r="A195" s="23"/>
      <c r="B195" s="23"/>
      <c r="C195" s="23"/>
      <c r="D195" s="23"/>
      <c r="E195" s="23"/>
      <c r="F195" s="23"/>
    </row>
    <row r="196" spans="1:6" ht="16.5">
      <c r="A196" s="23"/>
      <c r="B196" s="23"/>
      <c r="C196" s="23"/>
      <c r="D196" s="23"/>
      <c r="E196" s="23"/>
      <c r="F196" s="23"/>
    </row>
    <row r="197" spans="1:6" ht="16.5">
      <c r="A197" s="23"/>
      <c r="B197" s="23"/>
      <c r="C197" s="23"/>
      <c r="D197" s="23"/>
      <c r="E197" s="23"/>
      <c r="F197" s="23"/>
    </row>
    <row r="198" spans="1:6" ht="16.5">
      <c r="A198" s="23"/>
      <c r="B198" s="23"/>
      <c r="C198" s="23"/>
      <c r="D198" s="23"/>
      <c r="E198" s="23"/>
      <c r="F198" s="23"/>
    </row>
    <row r="199" spans="1:6" ht="16.5">
      <c r="A199" s="23"/>
      <c r="B199" s="23"/>
      <c r="C199" s="23"/>
      <c r="D199" s="23"/>
      <c r="E199" s="23"/>
      <c r="F199" s="23"/>
    </row>
    <row r="200" spans="1:6" ht="16.5">
      <c r="A200" s="23"/>
      <c r="B200" s="23"/>
      <c r="C200" s="23"/>
      <c r="D200" s="23"/>
      <c r="E200" s="23"/>
      <c r="F200" s="23"/>
    </row>
    <row r="201" spans="1:6" ht="16.5">
      <c r="A201" s="23"/>
      <c r="B201" s="23"/>
      <c r="C201" s="23"/>
      <c r="D201" s="23"/>
      <c r="E201" s="23"/>
      <c r="F201" s="23"/>
    </row>
    <row r="202" spans="1:6" ht="16.5">
      <c r="A202" s="23"/>
      <c r="B202" s="23"/>
      <c r="C202" s="23"/>
      <c r="D202" s="23"/>
      <c r="E202" s="23"/>
      <c r="F202" s="23"/>
    </row>
    <row r="203" spans="1:6" ht="16.5">
      <c r="A203" s="23"/>
      <c r="B203" s="23"/>
      <c r="C203" s="23"/>
      <c r="D203" s="23"/>
      <c r="E203" s="23"/>
      <c r="F203" s="23"/>
    </row>
    <row r="204" spans="1:6" ht="16.5">
      <c r="A204" s="23"/>
      <c r="B204" s="23"/>
      <c r="C204" s="23"/>
      <c r="D204" s="23"/>
      <c r="E204" s="23"/>
      <c r="F204" s="23"/>
    </row>
    <row r="205" spans="1:6" ht="16.5">
      <c r="A205" s="23"/>
      <c r="B205" s="23"/>
      <c r="C205" s="23"/>
      <c r="D205" s="23"/>
      <c r="E205" s="23"/>
      <c r="F205" s="23"/>
    </row>
    <row r="206" spans="1:6" ht="16.5">
      <c r="A206" s="23"/>
      <c r="B206" s="23"/>
      <c r="C206" s="23"/>
      <c r="D206" s="23"/>
      <c r="E206" s="23"/>
      <c r="F206" s="23"/>
    </row>
    <row r="207" spans="1:6" ht="16.5">
      <c r="A207" s="23"/>
      <c r="B207" s="23"/>
      <c r="C207" s="23"/>
      <c r="D207" s="23"/>
      <c r="E207" s="23"/>
      <c r="F207" s="23"/>
    </row>
    <row r="208" spans="1:6" ht="16.5">
      <c r="A208" s="23"/>
      <c r="B208" s="23"/>
      <c r="C208" s="23"/>
      <c r="D208" s="23"/>
      <c r="E208" s="23"/>
      <c r="F208" s="23"/>
    </row>
    <row r="209" spans="1:6" ht="16.5">
      <c r="A209" s="23"/>
      <c r="B209" s="23"/>
      <c r="C209" s="23"/>
      <c r="D209" s="23"/>
      <c r="E209" s="23"/>
      <c r="F209" s="23"/>
    </row>
    <row r="210" spans="1:6" ht="16.5">
      <c r="A210" s="23"/>
      <c r="B210" s="23"/>
      <c r="C210" s="23"/>
      <c r="D210" s="23"/>
      <c r="E210" s="23"/>
      <c r="F210" s="23"/>
    </row>
    <row r="211" spans="1:6" ht="16.5">
      <c r="A211" s="23"/>
      <c r="B211" s="23"/>
      <c r="C211" s="23"/>
      <c r="D211" s="23"/>
      <c r="E211" s="23"/>
      <c r="F211" s="23"/>
    </row>
    <row r="212" spans="1:6" ht="16.5">
      <c r="A212" s="23"/>
      <c r="B212" s="23"/>
      <c r="C212" s="23"/>
      <c r="D212" s="23"/>
      <c r="E212" s="23"/>
      <c r="F212" s="23"/>
    </row>
    <row r="213" spans="1:6" ht="16.5">
      <c r="A213" s="23"/>
      <c r="B213" s="23"/>
      <c r="C213" s="23"/>
      <c r="D213" s="23"/>
      <c r="E213" s="23"/>
      <c r="F213" s="23"/>
    </row>
    <row r="214" spans="1:6" ht="16.5">
      <c r="A214" s="23"/>
      <c r="B214" s="23"/>
      <c r="C214" s="23"/>
      <c r="D214" s="23"/>
      <c r="E214" s="23"/>
      <c r="F214" s="23"/>
    </row>
    <row r="215" spans="1:6" ht="16.5">
      <c r="A215" s="23"/>
      <c r="B215" s="23"/>
      <c r="C215" s="23"/>
      <c r="D215" s="23"/>
      <c r="E215" s="23"/>
      <c r="F215" s="23"/>
    </row>
    <row r="216" spans="1:6" ht="16.5">
      <c r="A216" s="23"/>
      <c r="B216" s="23"/>
      <c r="C216" s="23"/>
      <c r="D216" s="23"/>
      <c r="E216" s="23"/>
      <c r="F216" s="23"/>
    </row>
    <row r="217" spans="1:6" ht="16.5">
      <c r="A217" s="23"/>
      <c r="B217" s="23"/>
      <c r="C217" s="23"/>
      <c r="D217" s="23"/>
      <c r="E217" s="23"/>
      <c r="F217" s="23"/>
    </row>
    <row r="218" spans="1:6" ht="16.5">
      <c r="A218" s="23"/>
      <c r="B218" s="23"/>
      <c r="C218" s="23"/>
      <c r="D218" s="23"/>
      <c r="E218" s="23"/>
      <c r="F218" s="23"/>
    </row>
    <row r="219" spans="1:6" ht="16.5">
      <c r="A219" s="23"/>
      <c r="B219" s="23"/>
      <c r="C219" s="23"/>
      <c r="D219" s="23"/>
      <c r="E219" s="23"/>
      <c r="F219" s="23"/>
    </row>
    <row r="220" spans="1:6" ht="16.5">
      <c r="A220" s="23"/>
      <c r="B220" s="23"/>
      <c r="C220" s="23"/>
      <c r="D220" s="23"/>
      <c r="E220" s="23"/>
      <c r="F220" s="23"/>
    </row>
    <row r="221" spans="1:6" ht="16.5">
      <c r="A221" s="23"/>
      <c r="B221" s="23"/>
      <c r="C221" s="23"/>
      <c r="D221" s="23"/>
      <c r="E221" s="23"/>
      <c r="F221" s="23"/>
    </row>
    <row r="222" spans="1:6" ht="16.5">
      <c r="A222" s="23"/>
      <c r="B222" s="23"/>
      <c r="C222" s="23"/>
      <c r="D222" s="23"/>
      <c r="E222" s="23"/>
      <c r="F222" s="23"/>
    </row>
    <row r="223" spans="1:6" ht="16.5">
      <c r="A223" s="23"/>
      <c r="B223" s="23"/>
      <c r="C223" s="23"/>
      <c r="D223" s="23"/>
      <c r="E223" s="23"/>
      <c r="F223" s="23"/>
    </row>
    <row r="224" spans="1:6" ht="16.5">
      <c r="A224" s="23"/>
      <c r="B224" s="23"/>
      <c r="C224" s="23"/>
      <c r="D224" s="23"/>
      <c r="E224" s="23"/>
      <c r="F224" s="23"/>
    </row>
    <row r="225" spans="1:6" ht="16.5">
      <c r="A225" s="23"/>
      <c r="B225" s="23"/>
      <c r="C225" s="23"/>
      <c r="D225" s="23"/>
      <c r="E225" s="23"/>
      <c r="F225" s="23"/>
    </row>
    <row r="226" spans="1:6" ht="16.5">
      <c r="A226" s="23"/>
      <c r="B226" s="23"/>
      <c r="C226" s="23"/>
      <c r="D226" s="23"/>
      <c r="E226" s="23"/>
      <c r="F226" s="23"/>
    </row>
    <row r="227" spans="1:6" ht="16.5">
      <c r="A227" s="23"/>
      <c r="B227" s="23"/>
      <c r="C227" s="23"/>
      <c r="D227" s="23"/>
      <c r="E227" s="23"/>
      <c r="F227" s="23"/>
    </row>
    <row r="228" spans="1:6" ht="16.5">
      <c r="A228" s="23"/>
      <c r="B228" s="23"/>
      <c r="C228" s="23"/>
      <c r="D228" s="23"/>
      <c r="E228" s="23"/>
      <c r="F228" s="23"/>
    </row>
    <row r="229" spans="1:6" ht="16.5">
      <c r="A229" s="23"/>
      <c r="B229" s="23"/>
      <c r="C229" s="23"/>
      <c r="D229" s="23"/>
      <c r="E229" s="23"/>
      <c r="F229" s="23"/>
    </row>
    <row r="230" spans="1:6" ht="16.5">
      <c r="A230" s="23"/>
      <c r="B230" s="23"/>
      <c r="C230" s="23"/>
      <c r="D230" s="23"/>
      <c r="E230" s="23"/>
      <c r="F230" s="23"/>
    </row>
    <row r="231" spans="1:6" ht="16.5">
      <c r="A231" s="23"/>
      <c r="B231" s="23"/>
      <c r="C231" s="23"/>
      <c r="D231" s="23"/>
      <c r="E231" s="23"/>
      <c r="F231" s="23"/>
    </row>
    <row r="232" spans="1:6" ht="16.5">
      <c r="A232" s="23"/>
      <c r="B232" s="23"/>
      <c r="C232" s="23"/>
      <c r="D232" s="23"/>
      <c r="E232" s="23"/>
      <c r="F232" s="23"/>
    </row>
    <row r="233" spans="1:6" ht="16.5">
      <c r="A233" s="23"/>
      <c r="B233" s="23"/>
      <c r="C233" s="23"/>
      <c r="D233" s="23"/>
      <c r="E233" s="23"/>
      <c r="F233" s="23"/>
    </row>
    <row r="234" spans="1:6" ht="16.5">
      <c r="A234" s="23"/>
      <c r="B234" s="23"/>
      <c r="C234" s="23"/>
      <c r="D234" s="23"/>
      <c r="E234" s="23"/>
      <c r="F234" s="23"/>
    </row>
    <row r="235" spans="1:6" ht="16.5">
      <c r="A235" s="23"/>
      <c r="B235" s="23"/>
      <c r="C235" s="23"/>
      <c r="D235" s="23"/>
      <c r="E235" s="23"/>
      <c r="F235" s="23"/>
    </row>
    <row r="236" spans="1:6" ht="16.5">
      <c r="A236" s="23"/>
      <c r="B236" s="23"/>
      <c r="C236" s="23"/>
      <c r="D236" s="23"/>
      <c r="E236" s="23"/>
      <c r="F236" s="23"/>
    </row>
    <row r="237" spans="1:6" ht="16.5">
      <c r="A237" s="23"/>
      <c r="B237" s="23"/>
      <c r="C237" s="23"/>
      <c r="D237" s="23"/>
      <c r="E237" s="23"/>
      <c r="F237" s="23"/>
    </row>
    <row r="238" spans="1:6" ht="16.5">
      <c r="A238" s="23"/>
      <c r="B238" s="23"/>
      <c r="C238" s="23"/>
      <c r="D238" s="23"/>
      <c r="E238" s="23"/>
      <c r="F238" s="23"/>
    </row>
    <row r="239" spans="1:6" ht="16.5">
      <c r="A239" s="23"/>
      <c r="B239" s="23"/>
      <c r="C239" s="23"/>
      <c r="D239" s="23"/>
      <c r="E239" s="23"/>
      <c r="F239" s="23"/>
    </row>
    <row r="240" spans="1:6" ht="16.5">
      <c r="A240" s="23"/>
      <c r="B240" s="23"/>
      <c r="C240" s="23"/>
      <c r="D240" s="23"/>
      <c r="E240" s="23"/>
      <c r="F240" s="23"/>
    </row>
    <row r="241" spans="1:6" ht="16.5">
      <c r="A241" s="23"/>
      <c r="B241" s="23"/>
      <c r="C241" s="23"/>
      <c r="D241" s="23"/>
      <c r="E241" s="23"/>
      <c r="F241" s="23"/>
    </row>
    <row r="242" spans="1:6" ht="16.5">
      <c r="A242" s="23"/>
      <c r="B242" s="23"/>
      <c r="C242" s="23"/>
      <c r="D242" s="23"/>
      <c r="E242" s="23"/>
      <c r="F242" s="23"/>
    </row>
    <row r="243" spans="1:6" ht="16.5">
      <c r="A243" s="23"/>
      <c r="B243" s="23"/>
      <c r="C243" s="23"/>
      <c r="D243" s="23"/>
      <c r="E243" s="23"/>
      <c r="F243" s="23"/>
    </row>
    <row r="244" spans="1:6" ht="16.5">
      <c r="A244" s="23"/>
      <c r="B244" s="23"/>
      <c r="C244" s="23"/>
      <c r="D244" s="23"/>
      <c r="E244" s="23"/>
      <c r="F244" s="23"/>
    </row>
    <row r="245" spans="1:6" ht="16.5">
      <c r="A245" s="23"/>
      <c r="B245" s="23"/>
      <c r="C245" s="23"/>
      <c r="D245" s="23"/>
      <c r="E245" s="23"/>
      <c r="F245" s="23"/>
    </row>
    <row r="246" spans="1:6" ht="16.5">
      <c r="A246" s="23"/>
      <c r="B246" s="23"/>
      <c r="C246" s="23"/>
      <c r="D246" s="23"/>
      <c r="E246" s="23"/>
      <c r="F246" s="23"/>
    </row>
    <row r="247" spans="1:6" ht="16.5">
      <c r="A247" s="23"/>
      <c r="B247" s="23"/>
      <c r="C247" s="23"/>
      <c r="D247" s="23"/>
      <c r="E247" s="23"/>
      <c r="F247" s="23"/>
    </row>
    <row r="248" spans="1:6" ht="16.5">
      <c r="A248" s="23"/>
      <c r="B248" s="23"/>
      <c r="C248" s="23"/>
      <c r="D248" s="23"/>
      <c r="E248" s="23"/>
      <c r="F248" s="23"/>
    </row>
    <row r="249" spans="1:6" ht="16.5">
      <c r="A249" s="23"/>
      <c r="B249" s="23"/>
      <c r="C249" s="23"/>
      <c r="D249" s="23"/>
      <c r="E249" s="23"/>
      <c r="F249" s="23"/>
    </row>
    <row r="250" spans="1:6" ht="16.5">
      <c r="A250" s="23"/>
      <c r="B250" s="23"/>
      <c r="C250" s="23"/>
      <c r="D250" s="23"/>
      <c r="E250" s="23"/>
      <c r="F250" s="23"/>
    </row>
    <row r="251" spans="1:6" ht="16.5">
      <c r="A251" s="23"/>
      <c r="B251" s="23"/>
      <c r="C251" s="23"/>
      <c r="D251" s="23"/>
      <c r="E251" s="23"/>
      <c r="F251" s="23"/>
    </row>
    <row r="252" spans="1:6" ht="16.5">
      <c r="A252" s="23"/>
      <c r="B252" s="23"/>
      <c r="C252" s="23"/>
      <c r="D252" s="23"/>
      <c r="E252" s="23"/>
      <c r="F252" s="23"/>
    </row>
    <row r="253" spans="1:6" ht="16.5">
      <c r="A253" s="23"/>
      <c r="B253" s="23"/>
      <c r="C253" s="23"/>
      <c r="D253" s="23"/>
      <c r="E253" s="23"/>
      <c r="F253" s="23"/>
    </row>
    <row r="254" spans="1:6" ht="16.5">
      <c r="A254" s="23"/>
      <c r="B254" s="23"/>
      <c r="C254" s="23"/>
      <c r="D254" s="23"/>
      <c r="E254" s="23"/>
      <c r="F254" s="23"/>
    </row>
    <row r="255" spans="1:6" ht="16.5">
      <c r="A255" s="23"/>
      <c r="B255" s="23"/>
      <c r="C255" s="23"/>
      <c r="D255" s="23"/>
      <c r="E255" s="23"/>
      <c r="F255" s="23"/>
    </row>
    <row r="256" spans="1:6" ht="16.5">
      <c r="A256" s="23"/>
      <c r="B256" s="23"/>
      <c r="C256" s="23"/>
      <c r="D256" s="23"/>
      <c r="E256" s="23"/>
      <c r="F256" s="23"/>
    </row>
    <row r="257" spans="1:6" ht="16.5">
      <c r="A257" s="23"/>
      <c r="B257" s="23"/>
      <c r="C257" s="23"/>
      <c r="D257" s="23"/>
      <c r="E257" s="23"/>
      <c r="F257" s="23"/>
    </row>
    <row r="258" spans="1:6" ht="16.5">
      <c r="A258" s="23"/>
      <c r="B258" s="23"/>
      <c r="C258" s="23"/>
      <c r="D258" s="23"/>
      <c r="E258" s="23"/>
      <c r="F258" s="23"/>
    </row>
    <row r="259" spans="1:6" ht="16.5">
      <c r="A259" s="23"/>
      <c r="B259" s="23"/>
      <c r="C259" s="23"/>
      <c r="D259" s="23"/>
      <c r="E259" s="23"/>
      <c r="F259" s="23"/>
    </row>
    <row r="260" spans="1:6" ht="16.5">
      <c r="A260" s="23"/>
      <c r="B260" s="23"/>
      <c r="C260" s="23"/>
      <c r="D260" s="23"/>
      <c r="E260" s="23"/>
      <c r="F260" s="23"/>
    </row>
    <row r="261" spans="1:6" ht="16.5">
      <c r="A261" s="23"/>
      <c r="B261" s="23"/>
      <c r="C261" s="23"/>
      <c r="D261" s="23"/>
      <c r="E261" s="23"/>
      <c r="F261" s="23"/>
    </row>
    <row r="262" spans="1:6" ht="16.5">
      <c r="A262" s="23"/>
      <c r="B262" s="23"/>
      <c r="C262" s="23"/>
      <c r="D262" s="23"/>
      <c r="E262" s="23"/>
      <c r="F262" s="23"/>
    </row>
    <row r="263" spans="1:6" ht="16.5">
      <c r="A263" s="23"/>
      <c r="B263" s="23"/>
      <c r="C263" s="23"/>
      <c r="D263" s="23"/>
      <c r="E263" s="23"/>
      <c r="F263" s="23"/>
    </row>
    <row r="264" spans="1:6" ht="16.5">
      <c r="A264" s="23"/>
      <c r="B264" s="23"/>
      <c r="C264" s="23"/>
      <c r="D264" s="23"/>
      <c r="E264" s="23"/>
      <c r="F264" s="23"/>
    </row>
    <row r="265" spans="1:6" ht="16.5">
      <c r="A265" s="23"/>
      <c r="B265" s="23"/>
      <c r="C265" s="23"/>
      <c r="D265" s="23"/>
      <c r="E265" s="23"/>
      <c r="F265" s="23"/>
    </row>
    <row r="266" spans="1:6" ht="16.5">
      <c r="A266" s="23"/>
      <c r="B266" s="23"/>
      <c r="C266" s="23"/>
      <c r="D266" s="23"/>
      <c r="E266" s="23"/>
      <c r="F266" s="23"/>
    </row>
    <row r="267" spans="1:6" ht="16.5">
      <c r="A267" s="23"/>
      <c r="B267" s="23"/>
      <c r="C267" s="23"/>
      <c r="D267" s="23"/>
      <c r="E267" s="23"/>
      <c r="F267" s="23"/>
    </row>
    <row r="268" spans="1:6" ht="16.5">
      <c r="A268" s="23"/>
      <c r="B268" s="23"/>
      <c r="C268" s="23"/>
      <c r="D268" s="23"/>
      <c r="E268" s="23"/>
      <c r="F268" s="23"/>
    </row>
    <row r="269" spans="1:6" ht="16.5">
      <c r="A269" s="23"/>
      <c r="B269" s="23"/>
      <c r="C269" s="23"/>
      <c r="D269" s="23"/>
      <c r="E269" s="23"/>
      <c r="F269" s="23"/>
    </row>
    <row r="270" spans="1:6" ht="16.5">
      <c r="A270" s="23"/>
      <c r="B270" s="23"/>
      <c r="C270" s="23"/>
      <c r="D270" s="23"/>
      <c r="E270" s="23"/>
      <c r="F270" s="23"/>
    </row>
    <row r="271" spans="1:6" ht="16.5">
      <c r="A271" s="23"/>
      <c r="B271" s="23"/>
      <c r="C271" s="23"/>
      <c r="D271" s="23"/>
      <c r="E271" s="23"/>
      <c r="F271" s="23"/>
    </row>
    <row r="272" spans="1:6" ht="16.5">
      <c r="A272" s="23"/>
      <c r="B272" s="23"/>
      <c r="C272" s="23"/>
      <c r="D272" s="23"/>
      <c r="E272" s="23"/>
      <c r="F272" s="23"/>
    </row>
    <row r="273" spans="1:6" ht="16.5">
      <c r="A273" s="23"/>
      <c r="B273" s="23"/>
      <c r="C273" s="23"/>
      <c r="D273" s="23"/>
      <c r="E273" s="23"/>
      <c r="F273" s="23"/>
    </row>
    <row r="274" spans="1:6" ht="16.5">
      <c r="A274" s="23"/>
      <c r="B274" s="23"/>
      <c r="C274" s="23"/>
      <c r="D274" s="23"/>
      <c r="E274" s="23"/>
      <c r="F274" s="23"/>
    </row>
    <row r="275" spans="1:6" ht="16.5">
      <c r="A275" s="23"/>
      <c r="B275" s="23"/>
      <c r="C275" s="23"/>
      <c r="D275" s="23"/>
      <c r="E275" s="23"/>
      <c r="F275" s="23"/>
    </row>
    <row r="276" spans="1:6" ht="16.5">
      <c r="A276" s="23"/>
      <c r="B276" s="23"/>
      <c r="C276" s="23"/>
      <c r="D276" s="23"/>
      <c r="E276" s="23"/>
      <c r="F276" s="23"/>
    </row>
    <row r="277" spans="1:6" ht="16.5">
      <c r="A277" s="23"/>
      <c r="B277" s="23"/>
      <c r="C277" s="23"/>
      <c r="D277" s="23"/>
      <c r="E277" s="23"/>
      <c r="F277" s="23"/>
    </row>
    <row r="278" spans="1:6" ht="16.5">
      <c r="A278" s="23"/>
      <c r="B278" s="23"/>
      <c r="C278" s="23"/>
      <c r="D278" s="23"/>
      <c r="E278" s="23"/>
      <c r="F278" s="23"/>
    </row>
    <row r="279" spans="1:6" ht="16.5">
      <c r="A279" s="23"/>
      <c r="B279" s="23"/>
      <c r="C279" s="23"/>
      <c r="D279" s="23"/>
      <c r="E279" s="23"/>
      <c r="F279" s="23"/>
    </row>
    <row r="280" spans="1:6" ht="16.5">
      <c r="A280" s="23"/>
      <c r="B280" s="23"/>
      <c r="C280" s="23"/>
      <c r="D280" s="23"/>
      <c r="E280" s="23"/>
      <c r="F280" s="23"/>
    </row>
    <row r="281" spans="1:6" ht="16.5">
      <c r="A281" s="23"/>
      <c r="B281" s="23"/>
      <c r="C281" s="23"/>
      <c r="D281" s="23"/>
      <c r="E281" s="23"/>
      <c r="F281" s="23"/>
    </row>
    <row r="282" spans="1:6" ht="16.5">
      <c r="A282" s="23"/>
      <c r="B282" s="23"/>
      <c r="C282" s="23"/>
      <c r="D282" s="23"/>
      <c r="E282" s="23"/>
      <c r="F282" s="23"/>
    </row>
    <row r="283" spans="1:6" ht="16.5">
      <c r="A283" s="23"/>
      <c r="B283" s="23"/>
      <c r="C283" s="23"/>
      <c r="D283" s="23"/>
      <c r="E283" s="23"/>
      <c r="F283" s="23"/>
    </row>
    <row r="284" spans="1:6" ht="16.5">
      <c r="A284" s="23"/>
      <c r="B284" s="23"/>
      <c r="C284" s="23"/>
      <c r="D284" s="23"/>
      <c r="E284" s="23"/>
      <c r="F284" s="23"/>
    </row>
    <row r="285" spans="1:6" ht="16.5">
      <c r="A285" s="23"/>
      <c r="B285" s="23"/>
      <c r="C285" s="23"/>
      <c r="D285" s="23"/>
      <c r="E285" s="23"/>
      <c r="F285" s="23"/>
    </row>
    <row r="286" spans="1:6" ht="16.5">
      <c r="A286" s="23"/>
      <c r="B286" s="23"/>
      <c r="C286" s="23"/>
      <c r="D286" s="23"/>
      <c r="E286" s="23"/>
      <c r="F286" s="23"/>
    </row>
    <row r="287" spans="1:6" ht="16.5">
      <c r="A287" s="23"/>
      <c r="B287" s="23"/>
      <c r="C287" s="23"/>
      <c r="D287" s="23"/>
      <c r="E287" s="23"/>
      <c r="F287" s="23"/>
    </row>
    <row r="288" spans="1:6" ht="16.5">
      <c r="A288" s="23"/>
      <c r="B288" s="23"/>
      <c r="C288" s="23"/>
      <c r="D288" s="23"/>
      <c r="E288" s="23"/>
      <c r="F288" s="23"/>
    </row>
    <row r="289" spans="1:6" ht="16.5">
      <c r="A289" s="23"/>
      <c r="B289" s="23"/>
      <c r="C289" s="23"/>
      <c r="D289" s="23"/>
      <c r="E289" s="23"/>
      <c r="F289" s="23"/>
    </row>
    <row r="290" spans="1:6" ht="16.5">
      <c r="A290" s="23"/>
      <c r="B290" s="23"/>
      <c r="C290" s="23"/>
      <c r="D290" s="23"/>
      <c r="E290" s="23"/>
      <c r="F290" s="23"/>
    </row>
    <row r="291" spans="1:6" ht="16.5">
      <c r="A291" s="23"/>
      <c r="B291" s="23"/>
      <c r="C291" s="23"/>
      <c r="D291" s="23"/>
      <c r="E291" s="23"/>
      <c r="F291" s="23"/>
    </row>
    <row r="292" spans="1:6" ht="16.5">
      <c r="A292" s="23"/>
      <c r="B292" s="23"/>
      <c r="C292" s="23"/>
      <c r="D292" s="23"/>
      <c r="E292" s="23"/>
      <c r="F292" s="23"/>
    </row>
    <row r="293" spans="1:6" ht="16.5">
      <c r="A293" s="23"/>
      <c r="B293" s="23"/>
      <c r="C293" s="23"/>
      <c r="D293" s="23"/>
      <c r="E293" s="23"/>
      <c r="F293" s="23"/>
    </row>
    <row r="294" spans="1:6" ht="16.5">
      <c r="A294" s="23"/>
      <c r="B294" s="23"/>
      <c r="C294" s="23"/>
      <c r="D294" s="23"/>
      <c r="E294" s="23"/>
      <c r="F294" s="23"/>
    </row>
    <row r="295" spans="1:6" ht="16.5">
      <c r="A295" s="23"/>
      <c r="B295" s="23"/>
      <c r="C295" s="23"/>
      <c r="D295" s="23"/>
      <c r="E295" s="23"/>
      <c r="F295" s="23"/>
    </row>
    <row r="296" spans="1:6" ht="16.5">
      <c r="A296" s="23"/>
      <c r="B296" s="23"/>
      <c r="C296" s="23"/>
      <c r="D296" s="23"/>
      <c r="E296" s="23"/>
      <c r="F296" s="23"/>
    </row>
    <row r="297" spans="1:6" ht="16.5">
      <c r="A297" s="23"/>
      <c r="B297" s="23"/>
      <c r="C297" s="23"/>
      <c r="D297" s="23"/>
      <c r="E297" s="23"/>
      <c r="F297" s="23"/>
    </row>
    <row r="298" spans="1:6" ht="16.5">
      <c r="A298" s="23"/>
      <c r="B298" s="23"/>
      <c r="C298" s="23"/>
      <c r="D298" s="23"/>
      <c r="E298" s="23"/>
      <c r="F298" s="23"/>
    </row>
    <row r="299" spans="1:6" ht="16.5">
      <c r="A299" s="23"/>
      <c r="B299" s="23"/>
      <c r="C299" s="23"/>
      <c r="D299" s="23"/>
      <c r="E299" s="23"/>
      <c r="F299" s="23"/>
    </row>
    <row r="300" spans="1:6" ht="16.5">
      <c r="A300" s="23"/>
      <c r="B300" s="23"/>
      <c r="C300" s="23"/>
      <c r="D300" s="23"/>
      <c r="E300" s="23"/>
      <c r="F300" s="23"/>
    </row>
    <row r="301" spans="1:6" ht="16.5">
      <c r="A301" s="23"/>
      <c r="B301" s="23"/>
      <c r="C301" s="23"/>
      <c r="D301" s="23"/>
      <c r="E301" s="23"/>
      <c r="F301" s="23"/>
    </row>
    <row r="302" spans="1:6" ht="16.5">
      <c r="A302" s="23"/>
      <c r="B302" s="23"/>
      <c r="C302" s="23"/>
      <c r="D302" s="23"/>
      <c r="E302" s="23"/>
      <c r="F302" s="23"/>
    </row>
    <row r="303" spans="1:6" ht="16.5">
      <c r="A303" s="23"/>
      <c r="B303" s="23"/>
      <c r="C303" s="23"/>
      <c r="D303" s="23"/>
      <c r="E303" s="23"/>
      <c r="F303" s="23"/>
    </row>
    <row r="304" spans="1:6" ht="16.5">
      <c r="A304" s="23"/>
      <c r="B304" s="23"/>
      <c r="C304" s="23"/>
      <c r="D304" s="23"/>
      <c r="E304" s="23"/>
      <c r="F304" s="23"/>
    </row>
    <row r="305" spans="1:6" ht="16.5">
      <c r="A305" s="23"/>
      <c r="B305" s="23"/>
      <c r="C305" s="23"/>
      <c r="D305" s="23"/>
      <c r="E305" s="23"/>
      <c r="F305" s="23"/>
    </row>
    <row r="306" spans="1:6" ht="16.5">
      <c r="A306" s="23"/>
      <c r="B306" s="23"/>
      <c r="C306" s="23"/>
      <c r="D306" s="23"/>
      <c r="E306" s="23"/>
      <c r="F306" s="23"/>
    </row>
    <row r="307" spans="1:6" ht="16.5">
      <c r="A307" s="23"/>
      <c r="B307" s="23"/>
      <c r="C307" s="23"/>
      <c r="D307" s="23"/>
      <c r="E307" s="23"/>
      <c r="F307" s="23"/>
    </row>
    <row r="308" spans="1:6" ht="16.5">
      <c r="A308" s="23"/>
      <c r="B308" s="23"/>
      <c r="C308" s="23"/>
      <c r="D308" s="23"/>
      <c r="E308" s="23"/>
      <c r="F308" s="23"/>
    </row>
    <row r="309" spans="1:6" ht="16.5">
      <c r="A309" s="23"/>
      <c r="B309" s="23"/>
      <c r="C309" s="23"/>
      <c r="D309" s="23"/>
      <c r="E309" s="23"/>
      <c r="F309" s="23"/>
    </row>
    <row r="310" spans="1:6" ht="16.5">
      <c r="A310" s="23"/>
      <c r="B310" s="23"/>
      <c r="C310" s="23"/>
      <c r="D310" s="23"/>
      <c r="E310" s="23"/>
      <c r="F310" s="23"/>
    </row>
    <row r="311" spans="1:6" ht="16.5">
      <c r="A311" s="23"/>
      <c r="B311" s="23"/>
      <c r="C311" s="23"/>
      <c r="D311" s="23"/>
      <c r="E311" s="23"/>
      <c r="F311" s="23"/>
    </row>
    <row r="312" spans="1:6" ht="16.5">
      <c r="A312" s="23"/>
      <c r="B312" s="23"/>
      <c r="C312" s="23"/>
      <c r="D312" s="23"/>
      <c r="E312" s="23"/>
      <c r="F312" s="23"/>
    </row>
    <row r="313" spans="1:6" ht="16.5">
      <c r="A313" s="23"/>
      <c r="B313" s="23"/>
      <c r="C313" s="23"/>
      <c r="D313" s="23"/>
      <c r="E313" s="23"/>
      <c r="F313" s="23"/>
    </row>
    <row r="314" spans="1:6" ht="16.5">
      <c r="A314" s="23"/>
      <c r="B314" s="23"/>
      <c r="C314" s="23"/>
      <c r="D314" s="23"/>
      <c r="E314" s="23"/>
      <c r="F314" s="23"/>
    </row>
    <row r="315" spans="1:6" ht="16.5">
      <c r="A315" s="23"/>
      <c r="B315" s="23"/>
      <c r="C315" s="23"/>
      <c r="D315" s="23"/>
      <c r="E315" s="23"/>
      <c r="F315" s="23"/>
    </row>
    <row r="316" spans="1:6" ht="16.5">
      <c r="A316" s="23"/>
      <c r="B316" s="23"/>
      <c r="C316" s="23"/>
      <c r="D316" s="23"/>
      <c r="E316" s="23"/>
      <c r="F316" s="23"/>
    </row>
    <row r="317" spans="1:6" ht="16.5">
      <c r="A317" s="23"/>
      <c r="B317" s="23"/>
      <c r="C317" s="23"/>
      <c r="D317" s="23"/>
      <c r="E317" s="23"/>
      <c r="F317" s="23"/>
    </row>
    <row r="318" spans="1:6" ht="16.5">
      <c r="A318" s="23"/>
      <c r="B318" s="23"/>
      <c r="C318" s="23"/>
      <c r="D318" s="23"/>
      <c r="E318" s="23"/>
      <c r="F318" s="23"/>
    </row>
    <row r="319" spans="1:6" ht="16.5">
      <c r="A319" s="23"/>
      <c r="B319" s="23"/>
      <c r="C319" s="23"/>
      <c r="D319" s="23"/>
      <c r="E319" s="23"/>
      <c r="F319" s="23"/>
    </row>
    <row r="320" spans="1:6" ht="16.5">
      <c r="A320" s="23"/>
      <c r="B320" s="23"/>
      <c r="C320" s="23"/>
      <c r="D320" s="23"/>
      <c r="E320" s="23"/>
      <c r="F320" s="23"/>
    </row>
    <row r="321" spans="1:6" ht="16.5">
      <c r="A321" s="23"/>
      <c r="B321" s="23"/>
      <c r="C321" s="23"/>
      <c r="D321" s="23"/>
      <c r="E321" s="23"/>
      <c r="F321" s="23"/>
    </row>
    <row r="322" spans="1:6" ht="16.5">
      <c r="A322" s="23"/>
      <c r="B322" s="23"/>
      <c r="C322" s="23"/>
      <c r="D322" s="23"/>
      <c r="E322" s="23"/>
      <c r="F322" s="23"/>
    </row>
    <row r="323" spans="1:6" ht="16.5">
      <c r="A323" s="23"/>
      <c r="B323" s="23"/>
      <c r="C323" s="23"/>
      <c r="D323" s="23"/>
      <c r="E323" s="23"/>
      <c r="F323" s="23"/>
    </row>
    <row r="324" spans="1:6" ht="16.5">
      <c r="A324" s="23"/>
      <c r="B324" s="23"/>
      <c r="C324" s="23"/>
      <c r="D324" s="23"/>
      <c r="E324" s="23"/>
      <c r="F324" s="23"/>
    </row>
    <row r="325" spans="1:6" ht="16.5">
      <c r="A325" s="23"/>
      <c r="B325" s="23"/>
      <c r="C325" s="23"/>
      <c r="D325" s="23"/>
      <c r="E325" s="23"/>
      <c r="F325" s="23"/>
    </row>
    <row r="326" spans="1:6" ht="16.5">
      <c r="A326" s="23"/>
      <c r="B326" s="23"/>
      <c r="C326" s="23"/>
      <c r="D326" s="23"/>
      <c r="E326" s="23"/>
      <c r="F326" s="23"/>
    </row>
    <row r="327" spans="1:6" ht="16.5">
      <c r="A327" s="23"/>
      <c r="B327" s="23"/>
      <c r="C327" s="23"/>
      <c r="D327" s="23"/>
      <c r="E327" s="23"/>
      <c r="F327" s="23"/>
    </row>
    <row r="328" spans="1:6" ht="16.5">
      <c r="A328" s="23"/>
      <c r="B328" s="23"/>
      <c r="C328" s="23"/>
      <c r="D328" s="23"/>
      <c r="E328" s="23"/>
      <c r="F328" s="23"/>
    </row>
    <row r="329" spans="1:6" ht="16.5">
      <c r="A329" s="23"/>
      <c r="B329" s="23"/>
      <c r="C329" s="23"/>
      <c r="D329" s="23"/>
      <c r="E329" s="23"/>
      <c r="F329" s="23"/>
    </row>
    <row r="330" spans="1:6" ht="16.5">
      <c r="A330" s="23"/>
      <c r="B330" s="23"/>
      <c r="C330" s="23"/>
      <c r="D330" s="23"/>
      <c r="E330" s="23"/>
      <c r="F330" s="23"/>
    </row>
    <row r="331" spans="1:6" ht="16.5">
      <c r="A331" s="23"/>
      <c r="B331" s="23"/>
      <c r="C331" s="23"/>
      <c r="D331" s="23"/>
      <c r="E331" s="23"/>
      <c r="F331" s="23"/>
    </row>
    <row r="332" spans="1:6" ht="16.5">
      <c r="A332" s="23"/>
      <c r="B332" s="23"/>
      <c r="C332" s="23"/>
      <c r="D332" s="23"/>
      <c r="E332" s="23"/>
      <c r="F332" s="23"/>
    </row>
    <row r="333" spans="1:6" ht="16.5">
      <c r="A333" s="23"/>
      <c r="B333" s="23"/>
      <c r="C333" s="23"/>
      <c r="D333" s="23"/>
      <c r="E333" s="23"/>
      <c r="F333" s="23"/>
    </row>
    <row r="334" spans="1:6" ht="16.5">
      <c r="A334" s="23"/>
      <c r="B334" s="23"/>
      <c r="C334" s="23"/>
      <c r="D334" s="23"/>
      <c r="E334" s="23"/>
      <c r="F334" s="23"/>
    </row>
    <row r="335" spans="1:6" ht="16.5">
      <c r="A335" s="23"/>
      <c r="B335" s="23"/>
      <c r="C335" s="23"/>
      <c r="D335" s="23"/>
      <c r="E335" s="23"/>
      <c r="F335" s="23"/>
    </row>
    <row r="336" spans="1:6" ht="16.5">
      <c r="A336" s="23"/>
      <c r="B336" s="23"/>
      <c r="C336" s="23"/>
      <c r="D336" s="23"/>
      <c r="E336" s="23"/>
      <c r="F336" s="23"/>
    </row>
    <row r="337" spans="1:6" ht="16.5">
      <c r="A337" s="23"/>
      <c r="B337" s="23"/>
      <c r="C337" s="23"/>
      <c r="D337" s="23"/>
      <c r="E337" s="23"/>
      <c r="F337" s="23"/>
    </row>
    <row r="338" spans="1:6" ht="16.5">
      <c r="A338" s="23"/>
      <c r="B338" s="23"/>
      <c r="C338" s="23"/>
      <c r="D338" s="23"/>
      <c r="E338" s="23"/>
      <c r="F338" s="23"/>
    </row>
    <row r="339" spans="1:6" ht="16.5">
      <c r="A339" s="23"/>
      <c r="B339" s="23"/>
      <c r="C339" s="23"/>
      <c r="D339" s="23"/>
      <c r="E339" s="23"/>
      <c r="F339" s="23"/>
    </row>
    <row r="340" spans="1:6" ht="16.5">
      <c r="A340" s="23"/>
      <c r="B340" s="23"/>
      <c r="C340" s="23"/>
      <c r="D340" s="23"/>
      <c r="E340" s="23"/>
      <c r="F340" s="23"/>
    </row>
    <row r="341" spans="1:6" ht="16.5">
      <c r="A341" s="23"/>
      <c r="B341" s="23"/>
      <c r="C341" s="23"/>
      <c r="D341" s="23"/>
      <c r="E341" s="23"/>
      <c r="F341" s="23"/>
    </row>
    <row r="342" spans="1:6" ht="16.5">
      <c r="A342" s="23"/>
      <c r="B342" s="23"/>
      <c r="C342" s="23"/>
      <c r="D342" s="23"/>
      <c r="E342" s="23"/>
      <c r="F342" s="23"/>
    </row>
    <row r="343" spans="1:6" ht="16.5">
      <c r="A343" s="23"/>
      <c r="B343" s="23"/>
      <c r="C343" s="23"/>
      <c r="D343" s="23"/>
      <c r="E343" s="23"/>
      <c r="F343" s="23"/>
    </row>
    <row r="344" spans="1:6" ht="16.5">
      <c r="A344" s="23"/>
      <c r="B344" s="23"/>
      <c r="C344" s="23"/>
      <c r="D344" s="23"/>
      <c r="E344" s="23"/>
      <c r="F344" s="23"/>
    </row>
    <row r="345" spans="1:6" ht="16.5">
      <c r="A345" s="23"/>
      <c r="B345" s="23"/>
      <c r="C345" s="23"/>
      <c r="D345" s="23"/>
      <c r="E345" s="23"/>
      <c r="F345" s="23"/>
    </row>
    <row r="346" spans="1:6" ht="16.5">
      <c r="A346" s="23"/>
      <c r="B346" s="23"/>
      <c r="C346" s="23"/>
      <c r="D346" s="23"/>
      <c r="E346" s="23"/>
      <c r="F346" s="23"/>
    </row>
    <row r="347" spans="1:6" ht="16.5">
      <c r="A347" s="23"/>
      <c r="B347" s="23"/>
      <c r="C347" s="23"/>
      <c r="D347" s="23"/>
      <c r="E347" s="23"/>
      <c r="F347" s="23"/>
    </row>
    <row r="348" spans="1:6" ht="16.5">
      <c r="A348" s="23"/>
      <c r="B348" s="23"/>
      <c r="C348" s="23"/>
      <c r="D348" s="23"/>
      <c r="E348" s="23"/>
      <c r="F348" s="23"/>
    </row>
    <row r="349" spans="1:6" ht="16.5">
      <c r="A349" s="23"/>
      <c r="B349" s="23"/>
      <c r="C349" s="23"/>
      <c r="D349" s="23"/>
      <c r="E349" s="23"/>
      <c r="F349" s="23"/>
    </row>
    <row r="350" spans="1:6" ht="16.5">
      <c r="A350" s="23"/>
      <c r="B350" s="23"/>
      <c r="C350" s="23"/>
      <c r="D350" s="23"/>
      <c r="E350" s="23"/>
      <c r="F350" s="23"/>
    </row>
    <row r="351" spans="1:6" ht="16.5">
      <c r="A351" s="23"/>
      <c r="B351" s="23"/>
      <c r="C351" s="23"/>
      <c r="D351" s="23"/>
      <c r="E351" s="23"/>
      <c r="F351" s="23"/>
    </row>
    <row r="352" spans="1:6" ht="16.5">
      <c r="A352" s="23"/>
      <c r="B352" s="23"/>
      <c r="C352" s="23"/>
      <c r="D352" s="23"/>
      <c r="E352" s="23"/>
      <c r="F352" s="23"/>
    </row>
    <row r="353" spans="1:6" ht="16.5">
      <c r="A353" s="23"/>
      <c r="B353" s="23"/>
      <c r="C353" s="23"/>
      <c r="D353" s="23"/>
      <c r="E353" s="23"/>
      <c r="F353" s="23"/>
    </row>
    <row r="354" spans="1:6" ht="16.5">
      <c r="A354" s="23"/>
      <c r="B354" s="23"/>
      <c r="C354" s="23"/>
      <c r="D354" s="23"/>
      <c r="E354" s="23"/>
      <c r="F354" s="23"/>
    </row>
    <row r="355" spans="1:6" ht="16.5">
      <c r="A355" s="23"/>
      <c r="B355" s="23"/>
      <c r="C355" s="23"/>
      <c r="D355" s="23"/>
      <c r="E355" s="23"/>
      <c r="F355" s="23"/>
    </row>
    <row r="356" spans="1:6" ht="16.5">
      <c r="A356" s="23"/>
      <c r="B356" s="23"/>
      <c r="C356" s="23"/>
      <c r="D356" s="23"/>
      <c r="E356" s="23"/>
      <c r="F356" s="23"/>
    </row>
    <row r="357" spans="1:6" ht="16.5">
      <c r="A357" s="23"/>
      <c r="B357" s="23"/>
      <c r="C357" s="23"/>
      <c r="D357" s="23"/>
      <c r="E357" s="23"/>
      <c r="F357" s="23"/>
    </row>
    <row r="358" spans="1:6" ht="16.5">
      <c r="A358" s="23"/>
      <c r="B358" s="23"/>
      <c r="C358" s="23"/>
      <c r="D358" s="23"/>
      <c r="E358" s="23"/>
      <c r="F358" s="23"/>
    </row>
    <row r="359" spans="1:6" ht="16.5">
      <c r="A359" s="23"/>
      <c r="B359" s="23"/>
      <c r="C359" s="23"/>
      <c r="D359" s="23"/>
      <c r="E359" s="23"/>
      <c r="F359" s="23"/>
    </row>
    <row r="360" spans="1:6" ht="16.5">
      <c r="A360" s="23"/>
      <c r="B360" s="23"/>
      <c r="C360" s="23"/>
      <c r="D360" s="23"/>
      <c r="E360" s="23"/>
      <c r="F360" s="23"/>
    </row>
    <row r="361" spans="1:6" ht="16.5">
      <c r="A361" s="23"/>
      <c r="B361" s="23"/>
      <c r="C361" s="23"/>
      <c r="D361" s="23"/>
      <c r="E361" s="23"/>
      <c r="F361" s="23"/>
    </row>
    <row r="362" spans="1:6" ht="16.5">
      <c r="A362" s="23"/>
      <c r="B362" s="23"/>
      <c r="C362" s="23"/>
      <c r="D362" s="23"/>
      <c r="E362" s="23"/>
      <c r="F362" s="23"/>
    </row>
    <row r="363" spans="1:6" ht="16.5">
      <c r="A363" s="23"/>
      <c r="B363" s="23"/>
      <c r="C363" s="23"/>
      <c r="D363" s="23"/>
      <c r="E363" s="23"/>
      <c r="F363" s="23"/>
    </row>
    <row r="364" spans="1:6" ht="16.5">
      <c r="A364" s="23"/>
      <c r="B364" s="23"/>
      <c r="C364" s="23"/>
      <c r="D364" s="23"/>
      <c r="E364" s="23"/>
      <c r="F364" s="23"/>
    </row>
    <row r="365" spans="1:6" ht="16.5">
      <c r="A365" s="23"/>
      <c r="B365" s="23"/>
      <c r="C365" s="23"/>
      <c r="D365" s="23"/>
      <c r="E365" s="23"/>
      <c r="F365" s="23"/>
    </row>
    <row r="366" spans="1:6" ht="16.5">
      <c r="A366" s="23"/>
      <c r="B366" s="23"/>
      <c r="C366" s="23"/>
      <c r="D366" s="23"/>
      <c r="E366" s="23"/>
      <c r="F366" s="23"/>
    </row>
    <row r="367" spans="1:6" ht="16.5">
      <c r="A367" s="23"/>
      <c r="B367" s="23"/>
      <c r="C367" s="23"/>
      <c r="D367" s="23"/>
      <c r="E367" s="23"/>
      <c r="F367" s="23"/>
    </row>
    <row r="368" spans="1:6" ht="16.5">
      <c r="A368" s="23"/>
      <c r="B368" s="23"/>
      <c r="C368" s="23"/>
      <c r="D368" s="23"/>
      <c r="E368" s="23"/>
      <c r="F368" s="23"/>
    </row>
    <row r="369" spans="1:6" ht="16.5">
      <c r="A369" s="23"/>
      <c r="B369" s="23"/>
      <c r="C369" s="23"/>
      <c r="D369" s="23"/>
      <c r="E369" s="23"/>
      <c r="F369" s="23"/>
    </row>
    <row r="370" spans="1:6" ht="16.5">
      <c r="A370" s="23"/>
      <c r="B370" s="23"/>
      <c r="C370" s="23"/>
      <c r="D370" s="23"/>
      <c r="E370" s="23"/>
      <c r="F370" s="23"/>
    </row>
    <row r="371" spans="1:6" ht="16.5">
      <c r="A371" s="23"/>
      <c r="B371" s="23"/>
      <c r="C371" s="23"/>
      <c r="D371" s="23"/>
      <c r="E371" s="23"/>
      <c r="F371" s="23"/>
    </row>
    <row r="372" spans="1:6" ht="16.5">
      <c r="A372" s="23"/>
      <c r="B372" s="23"/>
      <c r="C372" s="23"/>
      <c r="D372" s="23"/>
      <c r="E372" s="23"/>
      <c r="F372" s="23"/>
    </row>
    <row r="373" spans="1:6" ht="16.5">
      <c r="A373" s="23"/>
      <c r="B373" s="23"/>
      <c r="C373" s="23"/>
      <c r="D373" s="23"/>
      <c r="E373" s="23"/>
      <c r="F373" s="23"/>
    </row>
    <row r="374" spans="1:6" ht="16.5">
      <c r="A374" s="23"/>
      <c r="B374" s="23"/>
      <c r="C374" s="23"/>
      <c r="D374" s="23"/>
      <c r="E374" s="23"/>
      <c r="F374" s="23"/>
    </row>
    <row r="375" spans="1:6" ht="16.5">
      <c r="A375" s="23"/>
      <c r="B375" s="23"/>
      <c r="C375" s="23"/>
      <c r="D375" s="23"/>
      <c r="E375" s="23"/>
      <c r="F375" s="23"/>
    </row>
    <row r="376" spans="1:6" ht="16.5">
      <c r="A376" s="23"/>
      <c r="B376" s="23"/>
      <c r="C376" s="23"/>
      <c r="D376" s="23"/>
      <c r="E376" s="23"/>
      <c r="F376" s="23"/>
    </row>
    <row r="377" spans="1:6" ht="16.5">
      <c r="A377" s="23"/>
      <c r="B377" s="23"/>
      <c r="C377" s="23"/>
      <c r="D377" s="23"/>
      <c r="E377" s="23"/>
      <c r="F377" s="23"/>
    </row>
    <row r="378" spans="1:6" ht="16.5">
      <c r="A378" s="23"/>
      <c r="B378" s="23"/>
      <c r="C378" s="23"/>
      <c r="D378" s="23"/>
      <c r="E378" s="23"/>
      <c r="F378" s="23"/>
    </row>
    <row r="379" spans="1:6" ht="16.5">
      <c r="A379" s="23"/>
      <c r="B379" s="23"/>
      <c r="C379" s="23"/>
      <c r="D379" s="23"/>
      <c r="E379" s="23"/>
      <c r="F379" s="23"/>
    </row>
    <row r="380" spans="1:6" ht="16.5">
      <c r="A380" s="23"/>
      <c r="B380" s="23"/>
      <c r="C380" s="23"/>
      <c r="D380" s="23"/>
      <c r="E380" s="23"/>
      <c r="F380" s="23"/>
    </row>
    <row r="381" spans="1:6" ht="16.5">
      <c r="A381" s="23"/>
      <c r="B381" s="23"/>
      <c r="C381" s="23"/>
      <c r="D381" s="23"/>
      <c r="E381" s="23"/>
      <c r="F381" s="23"/>
    </row>
    <row r="382" spans="1:6" ht="16.5">
      <c r="A382" s="23"/>
      <c r="B382" s="23"/>
      <c r="C382" s="23"/>
      <c r="D382" s="23"/>
      <c r="E382" s="23"/>
      <c r="F382" s="23"/>
    </row>
    <row r="383" spans="1:6" ht="16.5">
      <c r="A383" s="23"/>
      <c r="B383" s="23"/>
      <c r="C383" s="23"/>
      <c r="D383" s="23"/>
      <c r="E383" s="23"/>
      <c r="F383" s="23"/>
    </row>
    <row r="384" spans="1:6" ht="16.5">
      <c r="A384" s="23"/>
      <c r="B384" s="23"/>
      <c r="C384" s="23"/>
      <c r="D384" s="23"/>
      <c r="E384" s="23"/>
      <c r="F384" s="23"/>
    </row>
    <row r="385" spans="1:6" ht="16.5">
      <c r="A385" s="23"/>
      <c r="B385" s="23"/>
      <c r="C385" s="23"/>
      <c r="D385" s="23"/>
      <c r="E385" s="23"/>
      <c r="F385" s="23"/>
    </row>
    <row r="386" spans="1:6" ht="16.5">
      <c r="A386" s="23"/>
      <c r="B386" s="23"/>
      <c r="C386" s="23"/>
      <c r="D386" s="23"/>
      <c r="E386" s="23"/>
      <c r="F386" s="23"/>
    </row>
    <row r="387" spans="1:6" ht="16.5">
      <c r="A387" s="23"/>
      <c r="B387" s="23"/>
      <c r="C387" s="23"/>
      <c r="D387" s="23"/>
      <c r="E387" s="23"/>
      <c r="F387" s="23"/>
    </row>
    <row r="388" spans="1:6" ht="16.5">
      <c r="A388" s="23"/>
      <c r="B388" s="23"/>
      <c r="C388" s="23"/>
      <c r="D388" s="23"/>
      <c r="E388" s="23"/>
      <c r="F388" s="23"/>
    </row>
    <row r="389" spans="1:6" ht="16.5">
      <c r="A389" s="23"/>
      <c r="B389" s="23"/>
      <c r="C389" s="23"/>
      <c r="D389" s="23"/>
      <c r="E389" s="23"/>
      <c r="F389" s="23"/>
    </row>
    <row r="390" spans="1:6" ht="16.5">
      <c r="A390" s="23"/>
      <c r="B390" s="23"/>
      <c r="C390" s="23"/>
      <c r="D390" s="23"/>
      <c r="E390" s="23"/>
      <c r="F390" s="23"/>
    </row>
    <row r="391" spans="1:6" ht="16.5">
      <c r="A391" s="23"/>
      <c r="B391" s="23"/>
      <c r="C391" s="23"/>
      <c r="D391" s="23"/>
      <c r="E391" s="23"/>
      <c r="F391" s="23"/>
    </row>
    <row r="392" spans="1:6" ht="16.5">
      <c r="A392" s="23"/>
      <c r="B392" s="23"/>
      <c r="C392" s="23"/>
      <c r="D392" s="23"/>
      <c r="E392" s="23"/>
      <c r="F392" s="23"/>
    </row>
    <row r="393" spans="1:6" ht="16.5">
      <c r="A393" s="23"/>
      <c r="B393" s="23"/>
      <c r="C393" s="23"/>
      <c r="D393" s="23"/>
      <c r="E393" s="23"/>
      <c r="F393" s="23"/>
    </row>
    <row r="394" spans="1:6" ht="16.5">
      <c r="A394" s="23"/>
      <c r="B394" s="23"/>
      <c r="C394" s="23"/>
      <c r="D394" s="23"/>
      <c r="E394" s="23"/>
      <c r="F394" s="23"/>
    </row>
    <row r="395" spans="1:6" ht="16.5">
      <c r="A395" s="23"/>
      <c r="B395" s="23"/>
      <c r="C395" s="23"/>
      <c r="D395" s="23"/>
      <c r="E395" s="23"/>
      <c r="F395" s="23"/>
    </row>
    <row r="396" spans="1:6" ht="16.5">
      <c r="A396" s="23"/>
      <c r="B396" s="23"/>
      <c r="C396" s="23"/>
      <c r="D396" s="23"/>
      <c r="E396" s="23"/>
      <c r="F396" s="23"/>
    </row>
    <row r="397" spans="1:6" ht="16.5">
      <c r="A397" s="23"/>
      <c r="B397" s="23"/>
      <c r="C397" s="23"/>
      <c r="D397" s="23"/>
      <c r="E397" s="23"/>
      <c r="F397" s="23"/>
    </row>
    <row r="398" spans="1:6" ht="16.5">
      <c r="A398" s="23"/>
      <c r="B398" s="23"/>
      <c r="C398" s="23"/>
      <c r="D398" s="23"/>
      <c r="E398" s="23"/>
      <c r="F398" s="23"/>
    </row>
    <row r="399" spans="1:6" ht="16.5">
      <c r="A399" s="23"/>
      <c r="B399" s="23"/>
      <c r="C399" s="23"/>
      <c r="D399" s="23"/>
      <c r="E399" s="23"/>
      <c r="F399" s="23"/>
    </row>
    <row r="400" spans="1:6" ht="16.5">
      <c r="A400" s="23"/>
      <c r="B400" s="23"/>
      <c r="C400" s="23"/>
      <c r="D400" s="23"/>
      <c r="E400" s="23"/>
      <c r="F400" s="23"/>
    </row>
    <row r="401" spans="1:6" ht="16.5">
      <c r="A401" s="23"/>
      <c r="B401" s="23"/>
      <c r="C401" s="23"/>
      <c r="D401" s="23"/>
      <c r="E401" s="23"/>
      <c r="F401" s="23"/>
    </row>
    <row r="402" spans="1:6" ht="16.5">
      <c r="A402" s="23"/>
      <c r="B402" s="23"/>
      <c r="C402" s="23"/>
      <c r="D402" s="23"/>
      <c r="E402" s="23"/>
      <c r="F402" s="23"/>
    </row>
    <row r="403" spans="1:6" ht="16.5">
      <c r="A403" s="23"/>
      <c r="B403" s="23"/>
      <c r="C403" s="23"/>
      <c r="D403" s="23"/>
      <c r="E403" s="23"/>
      <c r="F403" s="23"/>
    </row>
    <row r="404" spans="1:6" ht="16.5">
      <c r="A404" s="23"/>
      <c r="B404" s="23"/>
      <c r="C404" s="23"/>
      <c r="D404" s="23"/>
      <c r="E404" s="23"/>
      <c r="F404" s="23"/>
    </row>
    <row r="405" spans="1:6" ht="16.5">
      <c r="A405" s="23"/>
      <c r="B405" s="23"/>
      <c r="C405" s="23"/>
      <c r="D405" s="23"/>
      <c r="E405" s="23"/>
      <c r="F405" s="23"/>
    </row>
    <row r="406" spans="1:6" ht="16.5">
      <c r="A406" s="23"/>
      <c r="B406" s="23"/>
      <c r="C406" s="23"/>
      <c r="D406" s="23"/>
      <c r="E406" s="23"/>
      <c r="F406" s="23"/>
    </row>
    <row r="407" spans="1:6" ht="16.5">
      <c r="A407" s="23"/>
      <c r="B407" s="23"/>
      <c r="C407" s="23"/>
      <c r="D407" s="23"/>
      <c r="E407" s="23"/>
      <c r="F407" s="23"/>
    </row>
    <row r="408" spans="1:6" ht="16.5">
      <c r="A408" s="23"/>
      <c r="B408" s="23"/>
      <c r="C408" s="23"/>
      <c r="D408" s="23"/>
      <c r="E408" s="23"/>
      <c r="F408" s="23"/>
    </row>
    <row r="409" spans="1:6" ht="16.5">
      <c r="A409" s="23"/>
      <c r="B409" s="23"/>
      <c r="C409" s="23"/>
      <c r="D409" s="23"/>
      <c r="E409" s="23"/>
      <c r="F409" s="23"/>
    </row>
    <row r="410" spans="1:6" ht="16.5">
      <c r="A410" s="23"/>
      <c r="B410" s="23"/>
      <c r="C410" s="23"/>
      <c r="D410" s="23"/>
      <c r="E410" s="23"/>
      <c r="F410" s="23"/>
    </row>
    <row r="411" spans="1:6" ht="16.5">
      <c r="A411" s="23"/>
      <c r="B411" s="23"/>
      <c r="C411" s="23"/>
      <c r="D411" s="23"/>
      <c r="E411" s="23"/>
      <c r="F411" s="23"/>
    </row>
    <row r="412" spans="1:6" ht="16.5">
      <c r="A412" s="23"/>
      <c r="B412" s="23"/>
      <c r="C412" s="23"/>
      <c r="D412" s="23"/>
      <c r="E412" s="23"/>
      <c r="F412" s="23"/>
    </row>
    <row r="413" spans="1:6" ht="16.5">
      <c r="A413" s="23"/>
      <c r="B413" s="23"/>
      <c r="C413" s="23"/>
      <c r="D413" s="23"/>
      <c r="E413" s="23"/>
      <c r="F413" s="23"/>
    </row>
    <row r="414" spans="1:6" ht="16.5">
      <c r="A414" s="23"/>
      <c r="B414" s="23"/>
      <c r="C414" s="23"/>
      <c r="D414" s="23"/>
      <c r="E414" s="23"/>
      <c r="F414" s="23"/>
    </row>
    <row r="415" spans="1:6" ht="16.5">
      <c r="A415" s="23"/>
      <c r="B415" s="23"/>
      <c r="C415" s="23"/>
      <c r="D415" s="23"/>
      <c r="E415" s="23"/>
      <c r="F415" s="23"/>
    </row>
    <row r="416" spans="1:6" ht="16.5">
      <c r="A416" s="23"/>
      <c r="B416" s="23"/>
      <c r="C416" s="23"/>
      <c r="D416" s="23"/>
      <c r="E416" s="23"/>
      <c r="F416" s="23"/>
    </row>
    <row r="417" spans="1:6" ht="16.5">
      <c r="A417" s="23"/>
      <c r="B417" s="23"/>
      <c r="C417" s="23"/>
      <c r="D417" s="23"/>
      <c r="E417" s="23"/>
      <c r="F417" s="23"/>
    </row>
    <row r="418" spans="1:6" ht="16.5">
      <c r="A418" s="23"/>
      <c r="B418" s="23"/>
      <c r="C418" s="23"/>
      <c r="D418" s="23"/>
      <c r="E418" s="23"/>
      <c r="F418" s="23"/>
    </row>
    <row r="419" spans="1:6" ht="16.5">
      <c r="A419" s="23"/>
      <c r="B419" s="23"/>
      <c r="C419" s="23"/>
      <c r="D419" s="23"/>
      <c r="E419" s="23"/>
      <c r="F419" s="23"/>
    </row>
    <row r="420" spans="1:6" ht="16.5">
      <c r="A420" s="23"/>
      <c r="B420" s="23"/>
      <c r="C420" s="23"/>
      <c r="D420" s="23"/>
      <c r="E420" s="23"/>
      <c r="F420" s="23"/>
    </row>
    <row r="421" spans="1:6" ht="16.5">
      <c r="A421" s="23"/>
      <c r="B421" s="23"/>
      <c r="C421" s="23"/>
      <c r="D421" s="23"/>
      <c r="E421" s="23"/>
      <c r="F421" s="23"/>
    </row>
    <row r="422" spans="1:6" ht="16.5">
      <c r="A422" s="23"/>
      <c r="B422" s="23"/>
      <c r="C422" s="23"/>
      <c r="D422" s="23"/>
      <c r="E422" s="23"/>
      <c r="F422" s="23"/>
    </row>
    <row r="423" spans="1:6" ht="16.5">
      <c r="A423" s="23"/>
      <c r="B423" s="23"/>
      <c r="C423" s="23"/>
      <c r="D423" s="23"/>
      <c r="E423" s="23"/>
      <c r="F423" s="23"/>
    </row>
    <row r="424" spans="1:6" ht="16.5">
      <c r="A424" s="23"/>
      <c r="B424" s="23"/>
      <c r="C424" s="23"/>
      <c r="D424" s="23"/>
      <c r="E424" s="23"/>
      <c r="F424" s="23"/>
    </row>
    <row r="425" spans="1:6" ht="16.5">
      <c r="A425" s="23"/>
      <c r="B425" s="23"/>
      <c r="C425" s="23"/>
      <c r="D425" s="23"/>
      <c r="E425" s="23"/>
      <c r="F425" s="23"/>
    </row>
    <row r="426" spans="1:6" ht="16.5">
      <c r="A426" s="23"/>
      <c r="B426" s="23"/>
      <c r="C426" s="23"/>
      <c r="D426" s="23"/>
      <c r="E426" s="23"/>
      <c r="F426" s="23"/>
    </row>
    <row r="427" spans="1:6" ht="16.5">
      <c r="A427" s="23"/>
      <c r="B427" s="23"/>
      <c r="C427" s="23"/>
      <c r="D427" s="23"/>
      <c r="E427" s="23"/>
      <c r="F427" s="23"/>
    </row>
    <row r="428" spans="1:6" ht="16.5">
      <c r="A428" s="23"/>
      <c r="B428" s="23"/>
      <c r="C428" s="23"/>
      <c r="D428" s="23"/>
      <c r="E428" s="23"/>
      <c r="F428" s="23"/>
    </row>
    <row r="429" spans="1:6" ht="16.5">
      <c r="A429" s="23"/>
      <c r="B429" s="23"/>
      <c r="C429" s="23"/>
      <c r="D429" s="23"/>
      <c r="E429" s="23"/>
      <c r="F429" s="23"/>
    </row>
    <row r="430" spans="1:6" ht="16.5">
      <c r="A430" s="23"/>
      <c r="B430" s="23"/>
      <c r="C430" s="23"/>
      <c r="D430" s="23"/>
      <c r="E430" s="23"/>
      <c r="F430" s="23"/>
    </row>
    <row r="431" spans="1:6" ht="16.5">
      <c r="A431" s="23"/>
      <c r="B431" s="23"/>
      <c r="C431" s="23"/>
      <c r="D431" s="23"/>
      <c r="E431" s="23"/>
      <c r="F431" s="23"/>
    </row>
    <row r="432" spans="1:6" ht="16.5">
      <c r="A432" s="23"/>
      <c r="B432" s="23"/>
      <c r="C432" s="23"/>
      <c r="D432" s="23"/>
      <c r="E432" s="23"/>
      <c r="F432" s="23"/>
    </row>
    <row r="433" spans="1:6" ht="16.5">
      <c r="A433" s="23"/>
      <c r="B433" s="23"/>
      <c r="C433" s="23"/>
      <c r="D433" s="23"/>
      <c r="E433" s="23"/>
      <c r="F433" s="23"/>
    </row>
    <row r="434" spans="1:6" ht="16.5">
      <c r="A434" s="23"/>
      <c r="B434" s="23"/>
      <c r="C434" s="23"/>
      <c r="D434" s="23"/>
      <c r="E434" s="23"/>
      <c r="F434" s="23"/>
    </row>
    <row r="435" spans="1:6" ht="16.5">
      <c r="A435" s="23"/>
      <c r="B435" s="23"/>
      <c r="C435" s="23"/>
      <c r="D435" s="23"/>
      <c r="E435" s="23"/>
      <c r="F435" s="23"/>
    </row>
    <row r="436" spans="1:6" ht="16.5">
      <c r="A436" s="23"/>
      <c r="B436" s="23"/>
      <c r="C436" s="23"/>
      <c r="D436" s="23"/>
      <c r="E436" s="23"/>
      <c r="F436" s="23"/>
    </row>
    <row r="437" spans="1:6" ht="16.5">
      <c r="A437" s="23"/>
      <c r="B437" s="23"/>
      <c r="C437" s="23"/>
      <c r="D437" s="23"/>
      <c r="E437" s="23"/>
      <c r="F437" s="23"/>
    </row>
    <row r="438" spans="1:6" ht="16.5">
      <c r="A438" s="23"/>
      <c r="B438" s="23"/>
      <c r="C438" s="23"/>
      <c r="D438" s="23"/>
      <c r="E438" s="23"/>
      <c r="F438" s="23"/>
    </row>
    <row r="439" spans="1:6" ht="16.5">
      <c r="A439" s="23"/>
      <c r="B439" s="23"/>
      <c r="C439" s="23"/>
      <c r="D439" s="23"/>
      <c r="E439" s="23"/>
      <c r="F439" s="23"/>
    </row>
    <row r="440" spans="1:6" ht="16.5">
      <c r="A440" s="23"/>
      <c r="B440" s="23"/>
      <c r="C440" s="23"/>
      <c r="D440" s="23"/>
      <c r="E440" s="23"/>
      <c r="F440" s="23"/>
    </row>
    <row r="441" spans="1:6" ht="16.5">
      <c r="A441" s="23"/>
      <c r="B441" s="23"/>
      <c r="C441" s="23"/>
      <c r="D441" s="23"/>
      <c r="E441" s="23"/>
      <c r="F441" s="23"/>
    </row>
    <row r="442" spans="1:6" ht="16.5">
      <c r="A442" s="23"/>
      <c r="B442" s="23"/>
      <c r="C442" s="23"/>
      <c r="D442" s="23"/>
      <c r="E442" s="23"/>
      <c r="F442" s="23"/>
    </row>
    <row r="443" spans="1:6" ht="16.5">
      <c r="A443" s="23"/>
      <c r="B443" s="23"/>
      <c r="C443" s="23"/>
      <c r="D443" s="23"/>
      <c r="E443" s="23"/>
      <c r="F443" s="23"/>
    </row>
    <row r="444" spans="1:6" ht="16.5">
      <c r="A444" s="23"/>
      <c r="B444" s="23"/>
      <c r="C444" s="23"/>
      <c r="D444" s="23"/>
      <c r="E444" s="23"/>
      <c r="F444" s="23"/>
    </row>
    <row r="445" spans="1:6" ht="16.5">
      <c r="A445" s="23"/>
      <c r="B445" s="23"/>
      <c r="C445" s="23"/>
      <c r="D445" s="23"/>
      <c r="E445" s="23"/>
      <c r="F445" s="23"/>
    </row>
    <row r="446" spans="1:6" ht="16.5">
      <c r="A446" s="23"/>
      <c r="B446" s="23"/>
      <c r="C446" s="23"/>
      <c r="D446" s="23"/>
      <c r="E446" s="23"/>
      <c r="F446" s="23"/>
    </row>
    <row r="447" spans="1:6" ht="16.5">
      <c r="A447" s="23"/>
      <c r="B447" s="23"/>
      <c r="C447" s="23"/>
      <c r="D447" s="23"/>
      <c r="E447" s="23"/>
      <c r="F447" s="23"/>
    </row>
    <row r="448" spans="1:6" ht="16.5">
      <c r="A448" s="23"/>
      <c r="B448" s="23"/>
      <c r="C448" s="23"/>
      <c r="D448" s="23"/>
      <c r="E448" s="23"/>
      <c r="F448" s="23"/>
    </row>
    <row r="449" spans="1:6" ht="16.5">
      <c r="A449" s="23"/>
      <c r="B449" s="23"/>
      <c r="C449" s="23"/>
      <c r="D449" s="23"/>
      <c r="E449" s="23"/>
      <c r="F449" s="23"/>
    </row>
    <row r="450" spans="1:6" ht="16.5">
      <c r="A450" s="23"/>
      <c r="B450" s="23"/>
      <c r="C450" s="23"/>
      <c r="D450" s="23"/>
      <c r="E450" s="23"/>
      <c r="F450" s="23"/>
    </row>
    <row r="451" spans="1:6" ht="16.5">
      <c r="A451" s="23"/>
      <c r="B451" s="23"/>
      <c r="C451" s="23"/>
      <c r="D451" s="23"/>
      <c r="E451" s="23"/>
      <c r="F451" s="23"/>
    </row>
    <row r="452" spans="1:6" ht="16.5">
      <c r="A452" s="23"/>
      <c r="B452" s="23"/>
      <c r="C452" s="23"/>
      <c r="D452" s="23"/>
      <c r="E452" s="23"/>
      <c r="F452" s="23"/>
    </row>
    <row r="453" spans="1:6" ht="16.5">
      <c r="A453" s="23"/>
      <c r="B453" s="23"/>
      <c r="C453" s="23"/>
      <c r="D453" s="23"/>
      <c r="E453" s="23"/>
      <c r="F453" s="23"/>
    </row>
    <row r="454" spans="1:6" ht="16.5">
      <c r="A454" s="23"/>
      <c r="B454" s="23"/>
      <c r="C454" s="23"/>
      <c r="D454" s="23"/>
      <c r="E454" s="23"/>
      <c r="F454" s="23"/>
    </row>
    <row r="455" spans="1:6" ht="16.5">
      <c r="A455" s="23"/>
      <c r="B455" s="23"/>
      <c r="C455" s="23"/>
      <c r="D455" s="23"/>
      <c r="E455" s="23"/>
      <c r="F455" s="23"/>
    </row>
    <row r="456" spans="1:6" ht="16.5">
      <c r="A456" s="23"/>
      <c r="B456" s="23"/>
      <c r="C456" s="23"/>
      <c r="D456" s="23"/>
      <c r="E456" s="23"/>
      <c r="F456" s="23"/>
    </row>
    <row r="457" spans="1:6" ht="16.5">
      <c r="A457" s="23"/>
      <c r="B457" s="23"/>
      <c r="C457" s="23"/>
      <c r="D457" s="23"/>
      <c r="E457" s="23"/>
      <c r="F457" s="23"/>
    </row>
    <row r="458" spans="1:6" ht="16.5">
      <c r="A458" s="23"/>
      <c r="B458" s="23"/>
      <c r="C458" s="23"/>
      <c r="D458" s="23"/>
      <c r="E458" s="23"/>
      <c r="F458" s="23"/>
    </row>
    <row r="459" spans="1:6" ht="16.5">
      <c r="A459" s="23"/>
      <c r="B459" s="23"/>
      <c r="C459" s="23"/>
      <c r="D459" s="23"/>
      <c r="E459" s="23"/>
      <c r="F459" s="23"/>
    </row>
    <row r="460" spans="1:6" ht="16.5">
      <c r="A460" s="23"/>
      <c r="B460" s="23"/>
      <c r="C460" s="23"/>
      <c r="D460" s="23"/>
      <c r="E460" s="23"/>
      <c r="F460" s="23"/>
    </row>
    <row r="461" spans="1:6" ht="16.5">
      <c r="A461" s="23"/>
      <c r="B461" s="23"/>
      <c r="C461" s="23"/>
      <c r="D461" s="23"/>
      <c r="E461" s="23"/>
      <c r="F461" s="23"/>
    </row>
    <row r="462" spans="1:6" ht="16.5">
      <c r="A462" s="23"/>
      <c r="B462" s="23"/>
      <c r="C462" s="23"/>
      <c r="D462" s="23"/>
      <c r="E462" s="23"/>
      <c r="F462" s="23"/>
    </row>
    <row r="463" spans="1:6" ht="16.5">
      <c r="A463" s="23"/>
      <c r="B463" s="23"/>
      <c r="C463" s="23"/>
      <c r="D463" s="23"/>
      <c r="E463" s="23"/>
      <c r="F463" s="23"/>
    </row>
    <row r="464" spans="1:6" ht="16.5">
      <c r="A464" s="23"/>
      <c r="B464" s="23"/>
      <c r="C464" s="23"/>
      <c r="D464" s="23"/>
      <c r="E464" s="23"/>
      <c r="F464" s="23"/>
    </row>
    <row r="465" spans="1:6" ht="16.5">
      <c r="A465" s="23"/>
      <c r="B465" s="23"/>
      <c r="C465" s="23"/>
      <c r="D465" s="23"/>
      <c r="E465" s="23"/>
      <c r="F465" s="23"/>
    </row>
    <row r="466" spans="1:6" ht="16.5">
      <c r="A466" s="23"/>
      <c r="B466" s="23"/>
      <c r="C466" s="23"/>
      <c r="D466" s="23"/>
      <c r="E466" s="23"/>
      <c r="F466" s="23"/>
    </row>
    <row r="467" spans="1:6" ht="16.5">
      <c r="A467" s="23"/>
      <c r="B467" s="23"/>
      <c r="C467" s="23"/>
      <c r="D467" s="23"/>
      <c r="E467" s="23"/>
      <c r="F467" s="23"/>
    </row>
    <row r="468" spans="1:6" ht="16.5">
      <c r="A468" s="23"/>
      <c r="B468" s="23"/>
      <c r="C468" s="23"/>
      <c r="D468" s="23"/>
      <c r="E468" s="23"/>
      <c r="F468" s="23"/>
    </row>
    <row r="469" spans="1:6" ht="16.5">
      <c r="A469" s="23"/>
      <c r="B469" s="23"/>
      <c r="C469" s="23"/>
      <c r="D469" s="23"/>
      <c r="E469" s="23"/>
      <c r="F469" s="23"/>
    </row>
    <row r="470" spans="1:6" ht="16.5">
      <c r="A470" s="23"/>
      <c r="B470" s="23"/>
      <c r="C470" s="23"/>
      <c r="D470" s="23"/>
      <c r="E470" s="23"/>
      <c r="F470" s="23"/>
    </row>
    <row r="471" spans="1:6" ht="16.5">
      <c r="A471" s="23"/>
      <c r="B471" s="23"/>
      <c r="C471" s="23"/>
      <c r="D471" s="23"/>
      <c r="E471" s="23"/>
      <c r="F471" s="23"/>
    </row>
    <row r="472" spans="1:6" ht="16.5">
      <c r="A472" s="23"/>
      <c r="B472" s="23"/>
      <c r="C472" s="23"/>
      <c r="D472" s="23"/>
      <c r="E472" s="23"/>
      <c r="F472" s="23"/>
    </row>
    <row r="473" spans="1:6" ht="16.5">
      <c r="A473" s="23"/>
      <c r="B473" s="23"/>
      <c r="C473" s="23"/>
      <c r="D473" s="23"/>
      <c r="E473" s="23"/>
      <c r="F473" s="23"/>
    </row>
    <row r="474" spans="1:6" ht="16.5">
      <c r="A474" s="23"/>
      <c r="B474" s="23"/>
      <c r="C474" s="23"/>
      <c r="D474" s="23"/>
      <c r="E474" s="23"/>
      <c r="F474" s="23"/>
    </row>
    <row r="475" spans="1:6" ht="16.5">
      <c r="A475" s="23"/>
      <c r="B475" s="23"/>
      <c r="C475" s="23"/>
      <c r="D475" s="23"/>
      <c r="E475" s="23"/>
      <c r="F475" s="23"/>
    </row>
    <row r="476" spans="1:6" ht="16.5">
      <c r="A476" s="23"/>
      <c r="B476" s="23"/>
      <c r="C476" s="23"/>
      <c r="D476" s="23"/>
      <c r="E476" s="23"/>
      <c r="F476" s="23"/>
    </row>
    <row r="477" spans="1:6" ht="16.5">
      <c r="A477" s="23"/>
      <c r="B477" s="23"/>
      <c r="C477" s="23"/>
      <c r="D477" s="23"/>
      <c r="E477" s="23"/>
      <c r="F477" s="23"/>
    </row>
    <row r="478" spans="1:6" ht="16.5">
      <c r="A478" s="23"/>
      <c r="B478" s="23"/>
      <c r="C478" s="23"/>
      <c r="D478" s="23"/>
      <c r="E478" s="23"/>
      <c r="F478" s="23"/>
    </row>
    <row r="479" spans="1:6" ht="16.5">
      <c r="A479" s="23"/>
      <c r="B479" s="23"/>
      <c r="C479" s="23"/>
      <c r="D479" s="23"/>
      <c r="E479" s="23"/>
      <c r="F479" s="23"/>
    </row>
    <row r="480" spans="1:6" ht="16.5">
      <c r="A480" s="23"/>
      <c r="B480" s="23"/>
      <c r="C480" s="23"/>
      <c r="D480" s="23"/>
      <c r="E480" s="23"/>
      <c r="F480" s="23"/>
    </row>
    <row r="481" spans="1:6" ht="16.5">
      <c r="A481" s="23"/>
      <c r="B481" s="23"/>
      <c r="C481" s="23"/>
      <c r="D481" s="23"/>
      <c r="E481" s="23"/>
      <c r="F481" s="23"/>
    </row>
    <row r="482" spans="1:6" ht="16.5">
      <c r="A482" s="23"/>
      <c r="B482" s="23"/>
      <c r="C482" s="23"/>
      <c r="D482" s="23"/>
      <c r="E482" s="23"/>
      <c r="F482" s="23"/>
    </row>
    <row r="483" spans="1:6" ht="16.5">
      <c r="A483" s="23"/>
      <c r="B483" s="23"/>
      <c r="C483" s="23"/>
      <c r="D483" s="23"/>
      <c r="E483" s="23"/>
      <c r="F483" s="23"/>
    </row>
    <row r="484" spans="1:6" ht="16.5">
      <c r="A484" s="23"/>
      <c r="B484" s="23"/>
      <c r="C484" s="23"/>
      <c r="D484" s="23"/>
      <c r="E484" s="23"/>
      <c r="F484" s="23"/>
    </row>
    <row r="485" spans="1:6" ht="16.5">
      <c r="A485" s="23"/>
      <c r="B485" s="23"/>
      <c r="C485" s="23"/>
      <c r="D485" s="23"/>
      <c r="E485" s="23"/>
      <c r="F485" s="23"/>
    </row>
    <row r="486" spans="1:6" ht="16.5">
      <c r="A486" s="23"/>
      <c r="B486" s="23"/>
      <c r="C486" s="23"/>
      <c r="D486" s="23"/>
      <c r="E486" s="23"/>
      <c r="F486" s="23"/>
    </row>
    <row r="487" spans="1:6" ht="16.5">
      <c r="A487" s="23"/>
      <c r="B487" s="23"/>
      <c r="C487" s="23"/>
      <c r="D487" s="23"/>
      <c r="E487" s="23"/>
      <c r="F487" s="23"/>
    </row>
    <row r="488" spans="1:6" ht="16.5">
      <c r="A488" s="23"/>
      <c r="B488" s="23"/>
      <c r="C488" s="23"/>
      <c r="D488" s="23"/>
      <c r="E488" s="23"/>
      <c r="F488" s="23"/>
    </row>
    <row r="489" spans="1:6" ht="16.5">
      <c r="A489" s="23"/>
      <c r="B489" s="23"/>
      <c r="C489" s="23"/>
      <c r="D489" s="23"/>
      <c r="E489" s="23"/>
      <c r="F489" s="23"/>
    </row>
    <row r="490" spans="1:6" ht="16.5">
      <c r="A490" s="23"/>
      <c r="B490" s="23"/>
      <c r="C490" s="23"/>
      <c r="D490" s="23"/>
      <c r="E490" s="23"/>
      <c r="F490" s="23"/>
    </row>
    <row r="491" spans="1:6" ht="16.5">
      <c r="A491" s="23"/>
      <c r="B491" s="23"/>
      <c r="C491" s="23"/>
      <c r="D491" s="23"/>
      <c r="E491" s="23"/>
      <c r="F491" s="23"/>
    </row>
    <row r="492" spans="1:6" ht="16.5">
      <c r="A492" s="23"/>
      <c r="B492" s="23"/>
      <c r="C492" s="23"/>
      <c r="D492" s="23"/>
      <c r="E492" s="23"/>
      <c r="F492" s="23"/>
    </row>
    <row r="493" spans="1:6" ht="16.5">
      <c r="A493" s="23"/>
      <c r="B493" s="23"/>
      <c r="C493" s="23"/>
      <c r="D493" s="23"/>
      <c r="E493" s="23"/>
      <c r="F493" s="23"/>
    </row>
    <row r="494" spans="1:6" ht="16.5">
      <c r="A494" s="23"/>
      <c r="B494" s="23"/>
      <c r="C494" s="23"/>
      <c r="D494" s="23"/>
      <c r="E494" s="23"/>
      <c r="F494" s="23"/>
    </row>
    <row r="495" spans="1:6" ht="16.5">
      <c r="A495" s="23"/>
      <c r="B495" s="23"/>
      <c r="C495" s="23"/>
      <c r="D495" s="23"/>
      <c r="E495" s="23"/>
      <c r="F495" s="23"/>
    </row>
    <row r="496" spans="1:6" ht="16.5">
      <c r="A496" s="23"/>
      <c r="B496" s="23"/>
      <c r="C496" s="23"/>
      <c r="D496" s="23"/>
      <c r="E496" s="23"/>
      <c r="F496" s="23"/>
    </row>
    <row r="497" spans="1:6" ht="16.5">
      <c r="A497" s="23"/>
      <c r="B497" s="23"/>
      <c r="C497" s="23"/>
      <c r="D497" s="23"/>
      <c r="E497" s="23"/>
      <c r="F497" s="23"/>
    </row>
    <row r="498" spans="1:6" ht="16.5">
      <c r="A498" s="23"/>
      <c r="B498" s="23"/>
      <c r="C498" s="23"/>
      <c r="D498" s="23"/>
      <c r="E498" s="23"/>
      <c r="F498" s="23"/>
    </row>
    <row r="499" spans="1:6" ht="16.5">
      <c r="A499" s="23"/>
      <c r="B499" s="23"/>
      <c r="C499" s="23"/>
      <c r="D499" s="23"/>
      <c r="E499" s="23"/>
      <c r="F499" s="23"/>
    </row>
    <row r="500" spans="1:6" ht="16.5">
      <c r="A500" s="23"/>
      <c r="B500" s="23"/>
      <c r="C500" s="23"/>
      <c r="D500" s="23"/>
      <c r="E500" s="23"/>
      <c r="F500" s="23"/>
    </row>
    <row r="501" spans="1:6" ht="16.5">
      <c r="A501" s="23"/>
      <c r="B501" s="23"/>
      <c r="C501" s="23"/>
      <c r="D501" s="23"/>
      <c r="E501" s="23"/>
      <c r="F501" s="23"/>
    </row>
    <row r="502" spans="1:6" ht="16.5">
      <c r="A502" s="23"/>
      <c r="B502" s="23"/>
      <c r="C502" s="23"/>
      <c r="D502" s="23"/>
      <c r="E502" s="23"/>
      <c r="F502" s="23"/>
    </row>
    <row r="503" spans="1:6" ht="16.5">
      <c r="A503" s="23"/>
      <c r="B503" s="23"/>
      <c r="C503" s="23"/>
      <c r="D503" s="23"/>
      <c r="E503" s="23"/>
      <c r="F503" s="23"/>
    </row>
    <row r="504" spans="1:6" ht="16.5">
      <c r="A504" s="23"/>
      <c r="B504" s="23"/>
      <c r="C504" s="23"/>
      <c r="D504" s="23"/>
      <c r="E504" s="23"/>
      <c r="F504" s="23"/>
    </row>
    <row r="505" spans="1:6" ht="16.5">
      <c r="A505" s="23"/>
      <c r="B505" s="23"/>
      <c r="C505" s="23"/>
      <c r="D505" s="23"/>
      <c r="E505" s="23"/>
      <c r="F505" s="23"/>
    </row>
    <row r="506" spans="1:6" ht="16.5">
      <c r="A506" s="23"/>
      <c r="B506" s="23"/>
      <c r="C506" s="23"/>
      <c r="D506" s="23"/>
      <c r="E506" s="23"/>
      <c r="F506" s="23"/>
    </row>
    <row r="507" spans="1:6" ht="16.5">
      <c r="A507" s="23"/>
      <c r="B507" s="23"/>
      <c r="C507" s="23"/>
      <c r="D507" s="23"/>
      <c r="E507" s="23"/>
      <c r="F507" s="23"/>
    </row>
    <row r="508" spans="1:6" ht="16.5">
      <c r="A508" s="23"/>
      <c r="B508" s="23"/>
      <c r="C508" s="23"/>
      <c r="D508" s="23"/>
      <c r="E508" s="23"/>
      <c r="F508" s="23"/>
    </row>
    <row r="509" spans="1:6" ht="16.5">
      <c r="A509" s="23"/>
      <c r="B509" s="23"/>
      <c r="C509" s="23"/>
      <c r="D509" s="23"/>
      <c r="E509" s="23"/>
      <c r="F509" s="23"/>
    </row>
    <row r="510" spans="1:6" ht="16.5">
      <c r="A510" s="23"/>
      <c r="B510" s="23"/>
      <c r="C510" s="23"/>
      <c r="D510" s="23"/>
      <c r="E510" s="23"/>
      <c r="F510" s="23"/>
    </row>
    <row r="511" spans="1:6" ht="16.5">
      <c r="A511" s="23"/>
      <c r="B511" s="23"/>
      <c r="C511" s="23"/>
      <c r="D511" s="23"/>
      <c r="E511" s="23"/>
      <c r="F511" s="23"/>
    </row>
    <row r="512" spans="1:6" ht="16.5">
      <c r="A512" s="23"/>
      <c r="B512" s="23"/>
      <c r="C512" s="23"/>
      <c r="D512" s="23"/>
      <c r="E512" s="23"/>
      <c r="F512" s="23"/>
    </row>
    <row r="513" spans="1:6" ht="16.5">
      <c r="A513" s="23"/>
      <c r="B513" s="23"/>
      <c r="C513" s="23"/>
      <c r="D513" s="23"/>
      <c r="E513" s="23"/>
      <c r="F513" s="23"/>
    </row>
    <row r="514" spans="1:6" ht="16.5">
      <c r="A514" s="23"/>
      <c r="B514" s="23"/>
      <c r="C514" s="23"/>
      <c r="D514" s="23"/>
      <c r="E514" s="23"/>
      <c r="F514" s="23"/>
    </row>
    <row r="515" spans="1:6" ht="16.5">
      <c r="A515" s="23"/>
      <c r="B515" s="23"/>
      <c r="C515" s="23"/>
      <c r="D515" s="23"/>
      <c r="E515" s="23"/>
      <c r="F515" s="23"/>
    </row>
    <row r="516" spans="1:6" ht="16.5">
      <c r="A516" s="23"/>
      <c r="B516" s="23"/>
      <c r="C516" s="23"/>
      <c r="D516" s="23"/>
      <c r="E516" s="23"/>
      <c r="F516" s="23"/>
    </row>
    <row r="517" spans="1:6" ht="16.5">
      <c r="A517" s="23"/>
      <c r="B517" s="23"/>
      <c r="C517" s="23"/>
      <c r="D517" s="23"/>
      <c r="E517" s="23"/>
      <c r="F517" s="23"/>
    </row>
    <row r="518" spans="1:6" ht="16.5">
      <c r="A518" s="23"/>
      <c r="B518" s="23"/>
      <c r="C518" s="23"/>
      <c r="D518" s="23"/>
      <c r="E518" s="23"/>
      <c r="F518" s="23"/>
    </row>
    <row r="519" spans="1:6" ht="16.5">
      <c r="A519" s="23"/>
      <c r="B519" s="23"/>
      <c r="C519" s="23"/>
      <c r="D519" s="23"/>
      <c r="E519" s="23"/>
      <c r="F519" s="23"/>
    </row>
    <row r="520" spans="1:6" ht="16.5">
      <c r="A520" s="23"/>
      <c r="B520" s="23"/>
      <c r="C520" s="23"/>
      <c r="D520" s="23"/>
      <c r="E520" s="23"/>
      <c r="F520" s="23"/>
    </row>
    <row r="521" spans="1:6" ht="16.5">
      <c r="A521" s="23"/>
      <c r="B521" s="23"/>
      <c r="C521" s="23"/>
      <c r="D521" s="23"/>
      <c r="E521" s="23"/>
      <c r="F521" s="23"/>
    </row>
    <row r="522" spans="1:6" ht="16.5">
      <c r="A522" s="23"/>
      <c r="B522" s="23"/>
      <c r="C522" s="23"/>
      <c r="D522" s="23"/>
      <c r="E522" s="23"/>
      <c r="F522" s="23"/>
    </row>
    <row r="523" spans="1:6" ht="16.5">
      <c r="A523" s="23"/>
      <c r="B523" s="23"/>
      <c r="C523" s="23"/>
      <c r="D523" s="23"/>
      <c r="E523" s="23"/>
      <c r="F523" s="23"/>
    </row>
    <row r="524" spans="1:6" ht="16.5">
      <c r="A524" s="23"/>
      <c r="B524" s="23"/>
      <c r="C524" s="23"/>
      <c r="D524" s="23"/>
      <c r="E524" s="23"/>
      <c r="F524" s="23"/>
    </row>
    <row r="525" spans="1:6" ht="16.5">
      <c r="A525" s="23"/>
      <c r="B525" s="23"/>
      <c r="C525" s="23"/>
      <c r="D525" s="23"/>
      <c r="E525" s="23"/>
      <c r="F525" s="23"/>
    </row>
    <row r="526" spans="1:6" ht="16.5">
      <c r="A526" s="23"/>
      <c r="B526" s="23"/>
      <c r="C526" s="23"/>
      <c r="D526" s="23"/>
      <c r="E526" s="23"/>
      <c r="F526" s="23"/>
    </row>
    <row r="527" spans="1:6" ht="16.5">
      <c r="A527" s="23"/>
      <c r="B527" s="23"/>
      <c r="C527" s="23"/>
      <c r="D527" s="23"/>
      <c r="E527" s="23"/>
      <c r="F527" s="23"/>
    </row>
    <row r="528" spans="1:6" ht="16.5">
      <c r="A528" s="23"/>
      <c r="B528" s="23"/>
      <c r="C528" s="23"/>
      <c r="D528" s="23"/>
      <c r="E528" s="23"/>
      <c r="F528" s="23"/>
    </row>
    <row r="529" spans="1:6" ht="16.5">
      <c r="A529" s="23"/>
      <c r="B529" s="23"/>
      <c r="C529" s="23"/>
      <c r="D529" s="23"/>
      <c r="E529" s="23"/>
      <c r="F529" s="23"/>
    </row>
    <row r="530" spans="1:6" ht="16.5">
      <c r="A530" s="23"/>
      <c r="B530" s="23"/>
      <c r="C530" s="23"/>
      <c r="D530" s="23"/>
      <c r="E530" s="23"/>
      <c r="F530" s="23"/>
    </row>
    <row r="531" spans="1:6" ht="16.5">
      <c r="A531" s="23"/>
      <c r="B531" s="23"/>
      <c r="C531" s="23"/>
      <c r="D531" s="23"/>
      <c r="E531" s="23"/>
      <c r="F531" s="23"/>
    </row>
    <row r="532" spans="1:6" ht="16.5">
      <c r="A532" s="23"/>
      <c r="B532" s="23"/>
      <c r="C532" s="23"/>
      <c r="D532" s="23"/>
      <c r="E532" s="23"/>
      <c r="F532" s="23"/>
    </row>
    <row r="533" spans="1:6" ht="16.5">
      <c r="A533" s="23"/>
      <c r="B533" s="23"/>
      <c r="C533" s="23"/>
      <c r="D533" s="23"/>
      <c r="E533" s="23"/>
      <c r="F533" s="23"/>
    </row>
    <row r="534" spans="1:6" ht="16.5">
      <c r="A534" s="23"/>
      <c r="B534" s="23"/>
      <c r="C534" s="23"/>
      <c r="D534" s="23"/>
      <c r="E534" s="23"/>
      <c r="F534" s="23"/>
    </row>
    <row r="535" spans="1:6" ht="16.5">
      <c r="A535" s="23"/>
      <c r="B535" s="23"/>
      <c r="C535" s="23"/>
      <c r="D535" s="23"/>
      <c r="E535" s="23"/>
      <c r="F535" s="23"/>
    </row>
    <row r="536" spans="1:6" ht="16.5">
      <c r="A536" s="23"/>
      <c r="B536" s="23"/>
      <c r="C536" s="23"/>
      <c r="D536" s="23"/>
      <c r="E536" s="23"/>
      <c r="F536" s="23"/>
    </row>
    <row r="537" spans="1:6" ht="16.5">
      <c r="A537" s="23"/>
      <c r="B537" s="23"/>
      <c r="C537" s="23"/>
      <c r="D537" s="23"/>
      <c r="E537" s="23"/>
      <c r="F537" s="23"/>
    </row>
    <row r="538" spans="1:6" ht="16.5">
      <c r="A538" s="23"/>
      <c r="B538" s="23"/>
      <c r="C538" s="23"/>
      <c r="D538" s="23"/>
      <c r="E538" s="23"/>
      <c r="F538" s="23"/>
    </row>
    <row r="539" spans="1:6" ht="16.5">
      <c r="A539" s="23"/>
      <c r="B539" s="23"/>
      <c r="C539" s="23"/>
      <c r="D539" s="23"/>
      <c r="E539" s="23"/>
      <c r="F539" s="23"/>
    </row>
    <row r="540" spans="1:6" ht="16.5">
      <c r="A540" s="23"/>
      <c r="B540" s="23"/>
      <c r="C540" s="23"/>
      <c r="D540" s="23"/>
      <c r="E540" s="23"/>
      <c r="F540" s="23"/>
    </row>
    <row r="541" spans="1:6" ht="16.5">
      <c r="A541" s="23"/>
      <c r="B541" s="23"/>
      <c r="C541" s="23"/>
      <c r="D541" s="23"/>
      <c r="E541" s="23"/>
      <c r="F541" s="23"/>
    </row>
    <row r="542" spans="1:6" ht="16.5">
      <c r="A542" s="23"/>
      <c r="B542" s="23"/>
      <c r="C542" s="23"/>
      <c r="D542" s="23"/>
      <c r="E542" s="23"/>
      <c r="F542" s="23"/>
    </row>
    <row r="543" spans="1:6" ht="16.5">
      <c r="A543" s="23"/>
      <c r="B543" s="23"/>
      <c r="C543" s="23"/>
      <c r="D543" s="23"/>
      <c r="E543" s="23"/>
      <c r="F543" s="23"/>
    </row>
    <row r="544" spans="1:6" ht="16.5">
      <c r="A544" s="23"/>
      <c r="B544" s="23"/>
      <c r="C544" s="23"/>
      <c r="D544" s="23"/>
      <c r="E544" s="23"/>
      <c r="F544" s="23"/>
    </row>
    <row r="545" spans="1:6" ht="16.5">
      <c r="A545" s="23"/>
      <c r="B545" s="23"/>
      <c r="C545" s="23"/>
      <c r="D545" s="23"/>
      <c r="E545" s="23"/>
      <c r="F545" s="23"/>
    </row>
    <row r="546" spans="1:6" ht="16.5">
      <c r="A546" s="23"/>
      <c r="B546" s="23"/>
      <c r="C546" s="23"/>
      <c r="D546" s="23"/>
      <c r="E546" s="23"/>
      <c r="F546" s="23"/>
    </row>
    <row r="547" spans="1:6" ht="16.5">
      <c r="A547" s="23"/>
      <c r="B547" s="23"/>
      <c r="C547" s="23"/>
      <c r="D547" s="23"/>
      <c r="E547" s="23"/>
      <c r="F547" s="23"/>
    </row>
    <row r="548" spans="1:6" ht="16.5">
      <c r="A548" s="23"/>
      <c r="B548" s="23"/>
      <c r="C548" s="23"/>
      <c r="D548" s="23"/>
      <c r="E548" s="23"/>
      <c r="F548" s="23"/>
    </row>
    <row r="549" spans="1:6" ht="16.5">
      <c r="A549" s="23"/>
      <c r="B549" s="23"/>
      <c r="C549" s="23"/>
      <c r="D549" s="23"/>
      <c r="E549" s="23"/>
      <c r="F549" s="23"/>
    </row>
    <row r="550" spans="1:6" ht="16.5">
      <c r="A550" s="23"/>
      <c r="B550" s="23"/>
      <c r="C550" s="23"/>
      <c r="D550" s="23"/>
      <c r="E550" s="23"/>
      <c r="F550" s="23"/>
    </row>
    <row r="551" spans="1:6" ht="16.5">
      <c r="A551" s="23"/>
      <c r="B551" s="23"/>
      <c r="C551" s="23"/>
      <c r="D551" s="23"/>
      <c r="E551" s="23"/>
      <c r="F551" s="23"/>
    </row>
    <row r="552" spans="1:6" ht="16.5">
      <c r="A552" s="23"/>
      <c r="B552" s="23"/>
      <c r="C552" s="23"/>
      <c r="D552" s="23"/>
      <c r="E552" s="23"/>
      <c r="F552" s="23"/>
    </row>
    <row r="553" spans="1:6" ht="16.5">
      <c r="A553" s="23"/>
      <c r="B553" s="23"/>
      <c r="C553" s="23"/>
      <c r="D553" s="23"/>
      <c r="E553" s="23"/>
      <c r="F553" s="23"/>
    </row>
    <row r="554" spans="1:6" ht="16.5">
      <c r="A554" s="23"/>
      <c r="B554" s="23"/>
      <c r="C554" s="23"/>
      <c r="D554" s="23"/>
      <c r="E554" s="23"/>
      <c r="F554" s="23"/>
    </row>
    <row r="555" spans="1:6" ht="16.5">
      <c r="A555" s="23"/>
      <c r="B555" s="23"/>
      <c r="C555" s="23"/>
      <c r="D555" s="23"/>
      <c r="E555" s="23"/>
      <c r="F555" s="23"/>
    </row>
    <row r="556" spans="1:6" ht="16.5">
      <c r="A556" s="23"/>
      <c r="B556" s="23"/>
      <c r="C556" s="23"/>
      <c r="D556" s="23"/>
      <c r="E556" s="23"/>
      <c r="F556" s="23"/>
    </row>
    <row r="557" spans="1:6" ht="16.5">
      <c r="A557" s="23"/>
      <c r="B557" s="23"/>
      <c r="C557" s="23"/>
      <c r="D557" s="23"/>
      <c r="E557" s="23"/>
      <c r="F557" s="23"/>
    </row>
    <row r="558" spans="1:6" ht="16.5">
      <c r="A558" s="23"/>
      <c r="B558" s="23"/>
      <c r="C558" s="23"/>
      <c r="D558" s="23"/>
      <c r="E558" s="23"/>
      <c r="F558" s="23"/>
    </row>
    <row r="559" spans="1:6" ht="16.5">
      <c r="A559" s="23"/>
      <c r="B559" s="23"/>
      <c r="C559" s="23"/>
      <c r="D559" s="23"/>
      <c r="E559" s="23"/>
      <c r="F559" s="23"/>
    </row>
    <row r="560" spans="1:6" ht="16.5">
      <c r="A560" s="23"/>
      <c r="B560" s="23"/>
      <c r="C560" s="23"/>
      <c r="D560" s="23"/>
      <c r="E560" s="23"/>
      <c r="F560" s="23"/>
    </row>
    <row r="561" spans="1:6" ht="16.5">
      <c r="A561" s="23"/>
      <c r="B561" s="23"/>
      <c r="C561" s="23"/>
      <c r="D561" s="23"/>
      <c r="E561" s="23"/>
      <c r="F561" s="23"/>
    </row>
    <row r="562" spans="1:6" ht="16.5">
      <c r="A562" s="23"/>
      <c r="B562" s="23"/>
      <c r="C562" s="23"/>
      <c r="D562" s="23"/>
      <c r="E562" s="23"/>
      <c r="F562" s="23"/>
    </row>
    <row r="563" spans="1:6" ht="16.5">
      <c r="A563" s="23"/>
      <c r="B563" s="23"/>
      <c r="C563" s="23"/>
      <c r="D563" s="23"/>
      <c r="E563" s="23"/>
      <c r="F563" s="23"/>
    </row>
    <row r="564" spans="1:6" ht="16.5">
      <c r="A564" s="23"/>
      <c r="B564" s="23"/>
      <c r="C564" s="23"/>
      <c r="D564" s="23"/>
      <c r="E564" s="23"/>
      <c r="F564" s="23"/>
    </row>
    <row r="565" spans="1:6" ht="16.5">
      <c r="A565" s="23"/>
      <c r="B565" s="23"/>
      <c r="C565" s="23"/>
      <c r="D565" s="23"/>
      <c r="E565" s="23"/>
      <c r="F565" s="23"/>
    </row>
    <row r="566" spans="1:6" ht="16.5">
      <c r="A566" s="23"/>
      <c r="B566" s="23"/>
      <c r="C566" s="23"/>
      <c r="D566" s="23"/>
      <c r="E566" s="23"/>
      <c r="F566" s="23"/>
    </row>
    <row r="567" spans="1:6" ht="16.5">
      <c r="A567" s="23"/>
      <c r="B567" s="23"/>
      <c r="C567" s="23"/>
      <c r="D567" s="23"/>
      <c r="E567" s="23"/>
      <c r="F567" s="23"/>
    </row>
    <row r="568" spans="1:6" ht="16.5">
      <c r="A568" s="23"/>
      <c r="B568" s="23"/>
      <c r="C568" s="23"/>
      <c r="D568" s="23"/>
      <c r="E568" s="23"/>
      <c r="F568" s="23"/>
    </row>
    <row r="569" spans="1:6" ht="16.5">
      <c r="A569" s="23"/>
      <c r="B569" s="23"/>
      <c r="C569" s="23"/>
      <c r="D569" s="23"/>
      <c r="E569" s="23"/>
      <c r="F569" s="23"/>
    </row>
    <row r="570" spans="1:6" ht="16.5">
      <c r="A570" s="23"/>
      <c r="B570" s="23"/>
      <c r="C570" s="23"/>
      <c r="D570" s="23"/>
      <c r="E570" s="23"/>
      <c r="F570" s="23"/>
    </row>
    <row r="571" spans="1:6" ht="16.5">
      <c r="A571" s="23"/>
      <c r="B571" s="23"/>
      <c r="C571" s="23"/>
      <c r="D571" s="23"/>
      <c r="E571" s="23"/>
      <c r="F571" s="23"/>
    </row>
    <row r="572" spans="1:6" ht="16.5">
      <c r="A572" s="23"/>
      <c r="B572" s="23"/>
      <c r="C572" s="23"/>
      <c r="D572" s="23"/>
      <c r="E572" s="23"/>
      <c r="F572" s="23"/>
    </row>
    <row r="573" spans="1:6" ht="16.5">
      <c r="A573" s="23"/>
      <c r="B573" s="23"/>
      <c r="C573" s="23"/>
      <c r="D573" s="23"/>
      <c r="E573" s="23"/>
      <c r="F573" s="23"/>
    </row>
    <row r="574" spans="1:6" ht="16.5">
      <c r="A574" s="23"/>
      <c r="B574" s="23"/>
      <c r="C574" s="23"/>
      <c r="D574" s="23"/>
      <c r="E574" s="23"/>
      <c r="F574" s="23"/>
    </row>
    <row r="575" spans="1:6" ht="16.5">
      <c r="A575" s="23"/>
      <c r="B575" s="23"/>
      <c r="C575" s="23"/>
      <c r="D575" s="23"/>
      <c r="E575" s="23"/>
      <c r="F575" s="23"/>
    </row>
    <row r="576" spans="1:6" ht="16.5">
      <c r="A576" s="23"/>
      <c r="B576" s="23"/>
      <c r="C576" s="23"/>
      <c r="D576" s="23"/>
      <c r="E576" s="23"/>
      <c r="F576" s="23"/>
    </row>
    <row r="577" spans="1:6" ht="16.5">
      <c r="A577" s="23"/>
      <c r="B577" s="23"/>
      <c r="C577" s="23"/>
      <c r="D577" s="23"/>
      <c r="E577" s="23"/>
      <c r="F577" s="23"/>
    </row>
    <row r="578" spans="1:6" ht="16.5">
      <c r="A578" s="23"/>
      <c r="B578" s="23"/>
      <c r="C578" s="23"/>
      <c r="D578" s="23"/>
      <c r="E578" s="23"/>
      <c r="F578" s="23"/>
    </row>
    <row r="579" spans="1:6" ht="16.5">
      <c r="A579" s="23"/>
      <c r="B579" s="23"/>
      <c r="C579" s="23"/>
      <c r="D579" s="23"/>
      <c r="E579" s="23"/>
      <c r="F579" s="23"/>
    </row>
    <row r="580" spans="1:6" ht="16.5">
      <c r="A580" s="23"/>
      <c r="B580" s="23"/>
      <c r="C580" s="23"/>
      <c r="D580" s="23"/>
      <c r="E580" s="23"/>
      <c r="F580" s="23"/>
    </row>
    <row r="581" spans="1:6" ht="16.5">
      <c r="A581" s="23"/>
      <c r="B581" s="23"/>
      <c r="C581" s="23"/>
      <c r="D581" s="23"/>
      <c r="E581" s="23"/>
      <c r="F581" s="23"/>
    </row>
    <row r="582" spans="1:6" ht="16.5">
      <c r="A582" s="23"/>
      <c r="B582" s="23"/>
      <c r="C582" s="23"/>
      <c r="D582" s="23"/>
      <c r="E582" s="23"/>
      <c r="F582" s="23"/>
    </row>
    <row r="583" spans="1:6" ht="16.5">
      <c r="A583" s="23"/>
      <c r="B583" s="23"/>
      <c r="C583" s="23"/>
      <c r="D583" s="23"/>
      <c r="E583" s="23"/>
      <c r="F583" s="23"/>
    </row>
    <row r="584" spans="1:6" ht="16.5">
      <c r="A584" s="23"/>
      <c r="B584" s="23"/>
      <c r="C584" s="23"/>
      <c r="D584" s="23"/>
      <c r="E584" s="23"/>
      <c r="F584" s="23"/>
    </row>
    <row r="585" spans="1:6" ht="16.5">
      <c r="A585" s="23"/>
      <c r="B585" s="23"/>
      <c r="C585" s="23"/>
      <c r="D585" s="23"/>
      <c r="E585" s="23"/>
      <c r="F585" s="23"/>
    </row>
    <row r="586" spans="1:6" ht="16.5">
      <c r="A586" s="23"/>
      <c r="B586" s="23"/>
      <c r="C586" s="23"/>
      <c r="D586" s="23"/>
      <c r="E586" s="23"/>
      <c r="F586" s="23"/>
    </row>
    <row r="587" spans="1:6" ht="16.5">
      <c r="A587" s="23"/>
      <c r="B587" s="23"/>
      <c r="C587" s="23"/>
      <c r="D587" s="23"/>
      <c r="E587" s="23"/>
      <c r="F587" s="23"/>
    </row>
    <row r="588" spans="1:6" ht="16.5">
      <c r="A588" s="23"/>
      <c r="B588" s="23"/>
      <c r="C588" s="23"/>
      <c r="D588" s="23"/>
      <c r="E588" s="23"/>
      <c r="F588" s="23"/>
    </row>
    <row r="589" spans="1:6" ht="16.5">
      <c r="A589" s="23"/>
      <c r="B589" s="23"/>
      <c r="C589" s="23"/>
      <c r="D589" s="23"/>
      <c r="E589" s="23"/>
      <c r="F589" s="23"/>
    </row>
    <row r="590" spans="1:6" ht="16.5">
      <c r="A590" s="23"/>
      <c r="B590" s="23"/>
      <c r="C590" s="23"/>
      <c r="D590" s="23"/>
      <c r="E590" s="23"/>
      <c r="F590" s="23"/>
    </row>
    <row r="591" spans="1:6" ht="16.5">
      <c r="A591" s="23"/>
      <c r="B591" s="23"/>
      <c r="C591" s="23"/>
      <c r="D591" s="23"/>
      <c r="E591" s="23"/>
      <c r="F591" s="23"/>
    </row>
    <row r="592" spans="1:6" ht="16.5">
      <c r="A592" s="23"/>
      <c r="B592" s="23"/>
      <c r="C592" s="23"/>
      <c r="D592" s="23"/>
      <c r="E592" s="23"/>
      <c r="F592" s="23"/>
    </row>
    <row r="593" spans="1:6" ht="16.5">
      <c r="A593" s="23"/>
      <c r="B593" s="23"/>
      <c r="C593" s="23"/>
      <c r="D593" s="23"/>
      <c r="E593" s="23"/>
      <c r="F593" s="23"/>
    </row>
    <row r="594" spans="1:6" ht="16.5">
      <c r="A594" s="23"/>
      <c r="B594" s="23"/>
      <c r="C594" s="23"/>
      <c r="D594" s="23"/>
      <c r="E594" s="23"/>
      <c r="F594" s="23"/>
    </row>
    <row r="595" spans="1:6" ht="16.5">
      <c r="A595" s="23"/>
      <c r="B595" s="23"/>
      <c r="C595" s="23"/>
      <c r="D595" s="23"/>
      <c r="E595" s="23"/>
      <c r="F595" s="23"/>
    </row>
    <row r="596" spans="1:6" ht="16.5">
      <c r="A596" s="23"/>
      <c r="B596" s="23"/>
      <c r="C596" s="23"/>
      <c r="D596" s="23"/>
      <c r="E596" s="23"/>
      <c r="F596" s="23"/>
    </row>
    <row r="597" spans="1:6" ht="16.5">
      <c r="A597" s="23"/>
      <c r="B597" s="23"/>
      <c r="C597" s="23"/>
      <c r="D597" s="23"/>
      <c r="E597" s="23"/>
      <c r="F597" s="23"/>
    </row>
    <row r="598" spans="1:6" ht="16.5">
      <c r="A598" s="23"/>
      <c r="B598" s="23"/>
      <c r="C598" s="23"/>
      <c r="D598" s="23"/>
      <c r="E598" s="23"/>
      <c r="F598" s="23"/>
    </row>
    <row r="599" spans="1:6" ht="16.5">
      <c r="A599" s="23"/>
      <c r="B599" s="23"/>
      <c r="C599" s="23"/>
      <c r="D599" s="23"/>
      <c r="E599" s="23"/>
      <c r="F599" s="23"/>
    </row>
    <row r="600" spans="1:6" ht="16.5">
      <c r="A600" s="23"/>
      <c r="B600" s="23"/>
      <c r="C600" s="23"/>
      <c r="D600" s="23"/>
      <c r="E600" s="23"/>
      <c r="F600" s="23"/>
    </row>
    <row r="601" spans="1:6" ht="16.5">
      <c r="A601" s="23"/>
      <c r="B601" s="23"/>
      <c r="C601" s="23"/>
      <c r="D601" s="23"/>
      <c r="E601" s="23"/>
      <c r="F601" s="23"/>
    </row>
    <row r="602" spans="1:6" ht="16.5">
      <c r="A602" s="23"/>
      <c r="B602" s="23"/>
      <c r="C602" s="23"/>
      <c r="D602" s="23"/>
      <c r="E602" s="23"/>
      <c r="F602" s="23"/>
    </row>
    <row r="603" spans="1:6" ht="16.5">
      <c r="A603" s="23"/>
      <c r="B603" s="23"/>
      <c r="C603" s="23"/>
      <c r="D603" s="23"/>
      <c r="E603" s="23"/>
      <c r="F603" s="23"/>
    </row>
    <row r="604" spans="1:6" ht="16.5">
      <c r="A604" s="23"/>
      <c r="B604" s="23"/>
      <c r="C604" s="23"/>
      <c r="D604" s="23"/>
      <c r="E604" s="23"/>
      <c r="F604" s="23"/>
    </row>
    <row r="605" spans="1:6" ht="16.5">
      <c r="A605" s="23"/>
      <c r="B605" s="23"/>
      <c r="C605" s="23"/>
      <c r="D605" s="23"/>
      <c r="E605" s="23"/>
      <c r="F605" s="23"/>
    </row>
    <row r="606" spans="1:6" ht="16.5">
      <c r="A606" s="23"/>
      <c r="B606" s="23"/>
      <c r="C606" s="23"/>
      <c r="D606" s="23"/>
      <c r="E606" s="23"/>
      <c r="F606" s="23"/>
    </row>
    <row r="607" spans="1:6" ht="16.5">
      <c r="A607" s="23"/>
      <c r="B607" s="23"/>
      <c r="C607" s="23"/>
      <c r="D607" s="23"/>
      <c r="E607" s="23"/>
      <c r="F607" s="23"/>
    </row>
    <row r="608" spans="1:6" ht="16.5">
      <c r="A608" s="23"/>
      <c r="B608" s="23"/>
      <c r="C608" s="23"/>
      <c r="D608" s="23"/>
      <c r="E608" s="23"/>
      <c r="F608" s="23"/>
    </row>
    <row r="609" spans="1:6" ht="16.5">
      <c r="A609" s="23"/>
      <c r="B609" s="23"/>
      <c r="C609" s="23"/>
      <c r="D609" s="23"/>
      <c r="E609" s="23"/>
      <c r="F609" s="23"/>
    </row>
    <row r="610" spans="1:6" ht="16.5">
      <c r="A610" s="23"/>
      <c r="B610" s="23"/>
      <c r="C610" s="23"/>
      <c r="D610" s="23"/>
      <c r="E610" s="23"/>
      <c r="F610" s="23"/>
    </row>
    <row r="611" spans="1:6" ht="16.5">
      <c r="A611" s="23"/>
      <c r="B611" s="23"/>
      <c r="C611" s="23"/>
      <c r="D611" s="23"/>
      <c r="E611" s="23"/>
      <c r="F611" s="23"/>
    </row>
    <row r="612" spans="1:6" ht="16.5">
      <c r="A612" s="23"/>
      <c r="B612" s="23"/>
      <c r="C612" s="23"/>
      <c r="D612" s="23"/>
      <c r="E612" s="23"/>
      <c r="F612" s="23"/>
    </row>
    <row r="613" spans="1:6" ht="16.5">
      <c r="A613" s="23"/>
      <c r="B613" s="23"/>
      <c r="C613" s="23"/>
      <c r="D613" s="23"/>
      <c r="E613" s="23"/>
      <c r="F613" s="23"/>
    </row>
    <row r="614" spans="1:6" ht="16.5">
      <c r="A614" s="23"/>
      <c r="B614" s="23"/>
      <c r="C614" s="23"/>
      <c r="D614" s="23"/>
      <c r="E614" s="23"/>
      <c r="F614" s="23"/>
    </row>
    <row r="615" spans="1:6" ht="16.5">
      <c r="A615" s="23"/>
      <c r="B615" s="23"/>
      <c r="C615" s="23"/>
      <c r="D615" s="23"/>
      <c r="E615" s="23"/>
      <c r="F615" s="23"/>
    </row>
    <row r="616" spans="1:6" ht="16.5">
      <c r="A616" s="23"/>
      <c r="B616" s="23"/>
      <c r="C616" s="23"/>
      <c r="D616" s="23"/>
      <c r="E616" s="23"/>
      <c r="F616" s="23"/>
    </row>
    <row r="617" spans="1:6" ht="16.5">
      <c r="A617" s="23"/>
      <c r="B617" s="23"/>
      <c r="C617" s="23"/>
      <c r="D617" s="23"/>
      <c r="E617" s="23"/>
      <c r="F617" s="23"/>
    </row>
    <row r="618" spans="1:6" ht="16.5">
      <c r="A618" s="23"/>
      <c r="B618" s="23"/>
      <c r="C618" s="23"/>
      <c r="D618" s="23"/>
      <c r="E618" s="23"/>
      <c r="F618" s="23"/>
    </row>
    <row r="619" spans="1:6" ht="16.5">
      <c r="A619" s="23"/>
      <c r="B619" s="23"/>
      <c r="C619" s="23"/>
      <c r="D619" s="23"/>
      <c r="E619" s="23"/>
      <c r="F619" s="23"/>
    </row>
    <row r="620" spans="1:6" ht="16.5">
      <c r="A620" s="23"/>
      <c r="B620" s="23"/>
      <c r="C620" s="23"/>
      <c r="D620" s="23"/>
      <c r="E620" s="23"/>
      <c r="F620" s="23"/>
    </row>
    <row r="621" spans="1:6" ht="16.5">
      <c r="A621" s="23"/>
      <c r="B621" s="23"/>
      <c r="C621" s="23"/>
      <c r="D621" s="23"/>
      <c r="E621" s="23"/>
      <c r="F621" s="23"/>
    </row>
    <row r="622" spans="1:6" ht="16.5">
      <c r="A622" s="23"/>
      <c r="B622" s="23"/>
      <c r="C622" s="23"/>
      <c r="D622" s="23"/>
      <c r="E622" s="23"/>
      <c r="F622" s="23"/>
    </row>
    <row r="623" spans="1:6" ht="16.5">
      <c r="A623" s="23"/>
      <c r="B623" s="23"/>
      <c r="C623" s="23"/>
      <c r="D623" s="23"/>
      <c r="E623" s="23"/>
      <c r="F623" s="23"/>
    </row>
    <row r="624" spans="1:6" ht="16.5">
      <c r="A624" s="23"/>
      <c r="B624" s="23"/>
      <c r="C624" s="23"/>
      <c r="D624" s="23"/>
      <c r="E624" s="23"/>
      <c r="F624" s="23"/>
    </row>
    <row r="625" spans="1:6" ht="16.5">
      <c r="A625" s="23"/>
      <c r="B625" s="23"/>
      <c r="C625" s="23"/>
      <c r="D625" s="23"/>
      <c r="E625" s="23"/>
      <c r="F625" s="23"/>
    </row>
    <row r="626" spans="1:6" ht="16.5">
      <c r="A626" s="23"/>
      <c r="B626" s="23"/>
      <c r="C626" s="23"/>
      <c r="D626" s="23"/>
      <c r="E626" s="23"/>
      <c r="F626" s="23"/>
    </row>
    <row r="627" spans="1:6" ht="16.5">
      <c r="A627" s="23"/>
      <c r="B627" s="23"/>
      <c r="C627" s="23"/>
      <c r="D627" s="23"/>
      <c r="E627" s="23"/>
      <c r="F627" s="23"/>
    </row>
    <row r="628" spans="1:6" ht="16.5">
      <c r="A628" s="23"/>
      <c r="B628" s="23"/>
      <c r="C628" s="23"/>
      <c r="D628" s="23"/>
      <c r="E628" s="23"/>
      <c r="F628" s="23"/>
    </row>
    <row r="629" spans="1:6" ht="16.5">
      <c r="A629" s="23"/>
      <c r="B629" s="23"/>
      <c r="C629" s="23"/>
      <c r="D629" s="23"/>
      <c r="E629" s="23"/>
      <c r="F629" s="23"/>
    </row>
    <row r="630" spans="1:6" ht="16.5">
      <c r="A630" s="23"/>
      <c r="B630" s="23"/>
      <c r="C630" s="23"/>
      <c r="D630" s="23"/>
      <c r="E630" s="23"/>
      <c r="F630" s="23"/>
    </row>
    <row r="631" spans="1:6" ht="16.5">
      <c r="A631" s="23"/>
      <c r="B631" s="23"/>
      <c r="C631" s="23"/>
      <c r="D631" s="23"/>
      <c r="E631" s="23"/>
      <c r="F631" s="23"/>
    </row>
    <row r="632" spans="1:6" ht="16.5">
      <c r="A632" s="23"/>
      <c r="B632" s="23"/>
      <c r="C632" s="23"/>
      <c r="D632" s="23"/>
      <c r="E632" s="23"/>
      <c r="F632" s="23"/>
    </row>
    <row r="633" spans="1:6" ht="16.5">
      <c r="A633" s="23"/>
      <c r="B633" s="23"/>
      <c r="C633" s="23"/>
      <c r="D633" s="23"/>
      <c r="E633" s="23"/>
      <c r="F633" s="23"/>
    </row>
    <row r="634" spans="1:6" ht="16.5">
      <c r="A634" s="23"/>
      <c r="B634" s="23"/>
      <c r="C634" s="23"/>
      <c r="D634" s="23"/>
      <c r="E634" s="23"/>
      <c r="F634" s="23"/>
    </row>
    <row r="635" spans="1:6" ht="16.5">
      <c r="A635" s="23"/>
      <c r="B635" s="23"/>
      <c r="C635" s="23"/>
      <c r="D635" s="23"/>
      <c r="E635" s="23"/>
      <c r="F635" s="23"/>
    </row>
    <row r="636" spans="1:6" ht="16.5">
      <c r="A636" s="23"/>
      <c r="B636" s="23"/>
      <c r="C636" s="23"/>
      <c r="D636" s="23"/>
      <c r="E636" s="23"/>
      <c r="F636" s="23"/>
    </row>
    <row r="637" spans="1:6" ht="16.5">
      <c r="A637" s="23"/>
      <c r="B637" s="23"/>
      <c r="C637" s="23"/>
      <c r="D637" s="23"/>
      <c r="E637" s="23"/>
      <c r="F637" s="23"/>
    </row>
    <row r="638" spans="1:6" ht="16.5">
      <c r="A638" s="23"/>
      <c r="B638" s="23"/>
      <c r="C638" s="23"/>
      <c r="D638" s="23"/>
      <c r="E638" s="23"/>
      <c r="F638" s="23"/>
    </row>
    <row r="639" spans="1:6" ht="16.5">
      <c r="A639" s="23"/>
      <c r="B639" s="23"/>
      <c r="C639" s="23"/>
      <c r="D639" s="23"/>
      <c r="E639" s="23"/>
      <c r="F639" s="23"/>
    </row>
    <row r="640" spans="1:6" ht="16.5">
      <c r="A640" s="23"/>
      <c r="B640" s="23"/>
      <c r="C640" s="23"/>
      <c r="D640" s="23"/>
      <c r="E640" s="23"/>
      <c r="F640" s="23"/>
    </row>
    <row r="641" spans="1:6" ht="16.5">
      <c r="A641" s="23"/>
      <c r="B641" s="23"/>
      <c r="C641" s="23"/>
      <c r="D641" s="23"/>
      <c r="E641" s="23"/>
      <c r="F641" s="23"/>
    </row>
    <row r="642" spans="1:6" ht="16.5">
      <c r="A642" s="23"/>
      <c r="B642" s="23"/>
      <c r="C642" s="23"/>
      <c r="D642" s="23"/>
      <c r="E642" s="23"/>
      <c r="F642" s="23"/>
    </row>
    <row r="643" spans="1:6" ht="16.5">
      <c r="A643" s="23"/>
      <c r="B643" s="23"/>
      <c r="C643" s="23"/>
      <c r="D643" s="23"/>
      <c r="E643" s="23"/>
      <c r="F643" s="23"/>
    </row>
    <row r="644" spans="1:6" ht="16.5">
      <c r="A644" s="23"/>
      <c r="B644" s="23"/>
      <c r="C644" s="23"/>
      <c r="D644" s="23"/>
      <c r="E644" s="23"/>
      <c r="F644" s="23"/>
    </row>
    <row r="645" spans="1:6" ht="16.5">
      <c r="A645" s="23"/>
      <c r="B645" s="23"/>
      <c r="C645" s="23"/>
      <c r="D645" s="23"/>
      <c r="E645" s="23"/>
      <c r="F645" s="23"/>
    </row>
    <row r="646" spans="1:6" ht="16.5">
      <c r="A646" s="23"/>
      <c r="B646" s="23"/>
      <c r="C646" s="23"/>
      <c r="D646" s="23"/>
      <c r="E646" s="23"/>
      <c r="F646" s="23"/>
    </row>
    <row r="647" spans="1:6" ht="16.5">
      <c r="A647" s="23"/>
      <c r="B647" s="23"/>
      <c r="C647" s="23"/>
      <c r="D647" s="23"/>
      <c r="E647" s="23"/>
      <c r="F647" s="23"/>
    </row>
    <row r="648" spans="1:6" ht="16.5">
      <c r="A648" s="23"/>
      <c r="B648" s="23"/>
      <c r="C648" s="23"/>
      <c r="D648" s="23"/>
      <c r="E648" s="23"/>
      <c r="F648" s="23"/>
    </row>
    <row r="649" spans="1:6" ht="16.5">
      <c r="A649" s="23"/>
      <c r="B649" s="23"/>
      <c r="C649" s="23"/>
      <c r="D649" s="23"/>
      <c r="E649" s="23"/>
      <c r="F649" s="23"/>
    </row>
    <row r="650" spans="1:6" ht="16.5">
      <c r="A650" s="23"/>
      <c r="B650" s="23"/>
      <c r="C650" s="23"/>
      <c r="D650" s="23"/>
      <c r="E650" s="23"/>
      <c r="F650" s="23"/>
    </row>
    <row r="651" spans="1:6" ht="16.5">
      <c r="A651" s="23"/>
      <c r="B651" s="23"/>
      <c r="C651" s="23"/>
      <c r="D651" s="23"/>
      <c r="E651" s="23"/>
      <c r="F651" s="23"/>
    </row>
    <row r="652" spans="1:6" ht="16.5">
      <c r="A652" s="23"/>
      <c r="B652" s="23"/>
      <c r="C652" s="23"/>
      <c r="D652" s="23"/>
      <c r="E652" s="23"/>
      <c r="F652" s="23"/>
    </row>
    <row r="653" spans="1:6" ht="16.5">
      <c r="A653" s="23"/>
      <c r="B653" s="23"/>
      <c r="C653" s="23"/>
      <c r="D653" s="23"/>
      <c r="E653" s="23"/>
      <c r="F653" s="23"/>
    </row>
    <row r="654" spans="1:6" ht="16.5">
      <c r="A654" s="23"/>
      <c r="B654" s="23"/>
      <c r="C654" s="23"/>
      <c r="D654" s="23"/>
      <c r="E654" s="23"/>
      <c r="F654" s="23"/>
    </row>
    <row r="655" spans="1:6" ht="16.5">
      <c r="A655" s="23"/>
      <c r="B655" s="23"/>
      <c r="C655" s="23"/>
      <c r="D655" s="23"/>
      <c r="E655" s="23"/>
      <c r="F655" s="23"/>
    </row>
    <row r="656" spans="1:6" ht="16.5">
      <c r="A656" s="23"/>
      <c r="B656" s="23"/>
      <c r="C656" s="23"/>
      <c r="D656" s="23"/>
      <c r="E656" s="23"/>
      <c r="F656" s="23"/>
    </row>
    <row r="657" spans="1:6" ht="16.5">
      <c r="A657" s="23"/>
      <c r="B657" s="23"/>
      <c r="C657" s="23"/>
      <c r="D657" s="23"/>
      <c r="E657" s="23"/>
      <c r="F657" s="23"/>
    </row>
    <row r="658" spans="1:6" ht="16.5">
      <c r="A658" s="23"/>
      <c r="B658" s="23"/>
      <c r="C658" s="23"/>
      <c r="D658" s="23"/>
      <c r="E658" s="23"/>
      <c r="F658" s="23"/>
    </row>
    <row r="659" spans="1:6" ht="16.5">
      <c r="A659" s="23"/>
      <c r="B659" s="23"/>
      <c r="C659" s="23"/>
      <c r="D659" s="23"/>
      <c r="E659" s="23"/>
      <c r="F659" s="23"/>
    </row>
    <row r="660" spans="1:6" ht="16.5">
      <c r="A660" s="23"/>
      <c r="B660" s="23"/>
      <c r="C660" s="23"/>
      <c r="D660" s="23"/>
      <c r="E660" s="23"/>
      <c r="F660" s="23"/>
    </row>
    <row r="661" spans="1:6" ht="16.5">
      <c r="A661" s="23"/>
      <c r="B661" s="23"/>
      <c r="C661" s="23"/>
      <c r="D661" s="23"/>
      <c r="E661" s="23"/>
      <c r="F661" s="23"/>
    </row>
    <row r="662" spans="1:6" ht="16.5">
      <c r="A662" s="23"/>
      <c r="B662" s="23"/>
      <c r="C662" s="23"/>
      <c r="D662" s="23"/>
      <c r="E662" s="23"/>
      <c r="F662" s="23"/>
    </row>
    <row r="663" spans="1:6" ht="16.5">
      <c r="A663" s="23"/>
      <c r="B663" s="23"/>
      <c r="C663" s="23"/>
      <c r="D663" s="23"/>
      <c r="E663" s="23"/>
      <c r="F663" s="23"/>
    </row>
    <row r="664" spans="1:6" ht="16.5">
      <c r="A664" s="23"/>
      <c r="B664" s="23"/>
      <c r="C664" s="23"/>
      <c r="D664" s="23"/>
      <c r="E664" s="23"/>
      <c r="F664" s="23"/>
    </row>
    <row r="665" spans="1:6" ht="16.5">
      <c r="A665" s="23"/>
      <c r="B665" s="23"/>
      <c r="C665" s="23"/>
      <c r="D665" s="23"/>
      <c r="E665" s="23"/>
      <c r="F665" s="23"/>
    </row>
    <row r="666" spans="1:6" ht="16.5">
      <c r="A666" s="23"/>
      <c r="B666" s="23"/>
      <c r="C666" s="23"/>
      <c r="D666" s="23"/>
      <c r="E666" s="23"/>
      <c r="F666" s="23"/>
    </row>
    <row r="667" spans="1:6" ht="16.5">
      <c r="A667" s="23"/>
      <c r="B667" s="23"/>
      <c r="C667" s="23"/>
      <c r="D667" s="23"/>
      <c r="E667" s="23"/>
      <c r="F667" s="23"/>
    </row>
    <row r="668" spans="1:6" ht="16.5">
      <c r="A668" s="23"/>
      <c r="B668" s="23"/>
      <c r="C668" s="23"/>
      <c r="D668" s="23"/>
      <c r="E668" s="23"/>
      <c r="F668" s="23"/>
    </row>
    <row r="669" spans="1:6" ht="16.5">
      <c r="A669" s="23"/>
      <c r="B669" s="23"/>
      <c r="C669" s="23"/>
      <c r="D669" s="23"/>
      <c r="E669" s="23"/>
      <c r="F669" s="23"/>
    </row>
    <row r="670" spans="1:6" ht="16.5">
      <c r="A670" s="23"/>
      <c r="B670" s="23"/>
      <c r="C670" s="23"/>
      <c r="D670" s="23"/>
      <c r="E670" s="23"/>
      <c r="F670" s="23"/>
    </row>
    <row r="671" spans="1:6" ht="16.5">
      <c r="A671" s="23"/>
      <c r="B671" s="23"/>
      <c r="C671" s="23"/>
      <c r="D671" s="23"/>
      <c r="E671" s="23"/>
      <c r="F671" s="23"/>
    </row>
    <row r="672" spans="1:6" ht="16.5">
      <c r="A672" s="23"/>
      <c r="B672" s="23"/>
      <c r="C672" s="23"/>
      <c r="D672" s="23"/>
      <c r="E672" s="23"/>
      <c r="F672" s="23"/>
    </row>
    <row r="673" spans="1:6" ht="16.5">
      <c r="A673" s="23"/>
      <c r="B673" s="23"/>
      <c r="C673" s="23"/>
      <c r="D673" s="23"/>
      <c r="E673" s="23"/>
      <c r="F673" s="23"/>
    </row>
    <row r="674" spans="1:6" ht="16.5">
      <c r="A674" s="23"/>
      <c r="B674" s="23"/>
      <c r="C674" s="23"/>
      <c r="D674" s="23"/>
      <c r="E674" s="23"/>
      <c r="F674" s="23"/>
    </row>
    <row r="675" spans="1:6" ht="16.5">
      <c r="A675" s="23"/>
      <c r="B675" s="23"/>
      <c r="C675" s="23"/>
      <c r="D675" s="23"/>
      <c r="E675" s="23"/>
      <c r="F675" s="23"/>
    </row>
    <row r="676" spans="1:6" ht="16.5">
      <c r="A676" s="23"/>
      <c r="B676" s="23"/>
      <c r="C676" s="23"/>
      <c r="D676" s="23"/>
      <c r="E676" s="23"/>
      <c r="F676" s="23"/>
    </row>
    <row r="677" spans="1:6" ht="16.5">
      <c r="A677" s="23"/>
      <c r="B677" s="23"/>
      <c r="C677" s="23"/>
      <c r="D677" s="23"/>
      <c r="E677" s="23"/>
      <c r="F677" s="23"/>
    </row>
    <row r="678" spans="1:6" ht="16.5">
      <c r="A678" s="23"/>
      <c r="B678" s="23"/>
      <c r="C678" s="23"/>
      <c r="D678" s="23"/>
      <c r="E678" s="23"/>
      <c r="F678" s="23"/>
    </row>
    <row r="679" spans="1:6" ht="16.5">
      <c r="A679" s="23"/>
      <c r="B679" s="23"/>
      <c r="C679" s="23"/>
      <c r="D679" s="23"/>
      <c r="E679" s="23"/>
      <c r="F679" s="23"/>
    </row>
    <row r="680" spans="1:6" ht="16.5">
      <c r="A680" s="23"/>
      <c r="B680" s="23"/>
      <c r="C680" s="23"/>
      <c r="D680" s="23"/>
      <c r="E680" s="23"/>
      <c r="F680" s="23"/>
    </row>
    <row r="681" spans="1:6" ht="16.5">
      <c r="A681" s="23"/>
      <c r="B681" s="23"/>
      <c r="C681" s="23"/>
      <c r="D681" s="23"/>
      <c r="E681" s="23"/>
      <c r="F681" s="23"/>
    </row>
    <row r="682" spans="1:6" ht="16.5">
      <c r="A682" s="23"/>
      <c r="B682" s="23"/>
      <c r="C682" s="23"/>
      <c r="D682" s="23"/>
      <c r="E682" s="23"/>
      <c r="F682" s="23"/>
    </row>
    <row r="683" spans="1:6" ht="16.5">
      <c r="A683" s="23"/>
      <c r="B683" s="23"/>
      <c r="C683" s="23"/>
      <c r="D683" s="23"/>
      <c r="E683" s="23"/>
      <c r="F683" s="23"/>
    </row>
    <row r="684" spans="1:6" ht="16.5">
      <c r="A684" s="23"/>
      <c r="B684" s="23"/>
      <c r="C684" s="23"/>
      <c r="D684" s="23"/>
      <c r="E684" s="23"/>
      <c r="F684" s="23"/>
    </row>
    <row r="685" spans="1:6" ht="16.5">
      <c r="A685" s="23"/>
      <c r="B685" s="23"/>
      <c r="C685" s="23"/>
      <c r="D685" s="23"/>
      <c r="E685" s="23"/>
      <c r="F685" s="23"/>
    </row>
    <row r="686" spans="1:6" ht="16.5">
      <c r="A686" s="23"/>
      <c r="B686" s="23"/>
      <c r="C686" s="23"/>
      <c r="D686" s="23"/>
      <c r="E686" s="23"/>
      <c r="F686" s="23"/>
    </row>
    <row r="687" spans="1:6" ht="16.5">
      <c r="A687" s="23"/>
      <c r="B687" s="23"/>
      <c r="C687" s="23"/>
      <c r="D687" s="23"/>
      <c r="E687" s="23"/>
      <c r="F687" s="23"/>
    </row>
    <row r="688" spans="1:6" ht="16.5">
      <c r="A688" s="23"/>
      <c r="B688" s="23"/>
      <c r="C688" s="23"/>
      <c r="D688" s="23"/>
      <c r="E688" s="23"/>
      <c r="F688" s="23"/>
    </row>
    <row r="689" spans="1:6" ht="16.5">
      <c r="A689" s="23"/>
      <c r="B689" s="23"/>
      <c r="C689" s="23"/>
      <c r="D689" s="23"/>
      <c r="E689" s="23"/>
      <c r="F689" s="23"/>
    </row>
    <row r="690" spans="1:6" ht="16.5">
      <c r="A690" s="23"/>
      <c r="B690" s="23"/>
      <c r="C690" s="23"/>
      <c r="D690" s="23"/>
      <c r="E690" s="23"/>
      <c r="F690" s="23"/>
    </row>
    <row r="691" spans="1:6" ht="16.5">
      <c r="A691" s="23"/>
      <c r="B691" s="23"/>
      <c r="C691" s="23"/>
      <c r="D691" s="23"/>
      <c r="E691" s="23"/>
      <c r="F691" s="23"/>
    </row>
    <row r="692" spans="1:6" ht="16.5">
      <c r="A692" s="23"/>
      <c r="B692" s="23"/>
      <c r="C692" s="23"/>
      <c r="D692" s="23"/>
      <c r="E692" s="23"/>
      <c r="F692" s="23"/>
    </row>
    <row r="693" spans="1:6" ht="16.5">
      <c r="A693" s="23"/>
      <c r="B693" s="23"/>
      <c r="C693" s="23"/>
      <c r="D693" s="23"/>
      <c r="E693" s="23"/>
      <c r="F693" s="23"/>
    </row>
    <row r="694" spans="1:6" ht="16.5">
      <c r="A694" s="23"/>
      <c r="B694" s="23"/>
      <c r="C694" s="23"/>
      <c r="D694" s="23"/>
      <c r="E694" s="23"/>
      <c r="F694" s="23"/>
    </row>
    <row r="695" spans="1:6" ht="16.5">
      <c r="A695" s="23"/>
      <c r="B695" s="23"/>
      <c r="C695" s="23"/>
      <c r="D695" s="23"/>
      <c r="E695" s="23"/>
      <c r="F695" s="23"/>
    </row>
    <row r="696" spans="1:6" ht="16.5">
      <c r="A696" s="23"/>
      <c r="B696" s="23"/>
      <c r="C696" s="23"/>
      <c r="D696" s="23"/>
      <c r="E696" s="23"/>
      <c r="F696" s="23"/>
    </row>
    <row r="697" spans="1:6" ht="16.5">
      <c r="A697" s="23"/>
      <c r="B697" s="23"/>
      <c r="C697" s="23"/>
      <c r="D697" s="23"/>
      <c r="E697" s="23"/>
      <c r="F697" s="23"/>
    </row>
    <row r="698" spans="1:6" ht="16.5">
      <c r="A698" s="23"/>
      <c r="B698" s="23"/>
      <c r="C698" s="23"/>
      <c r="D698" s="23"/>
      <c r="E698" s="23"/>
      <c r="F698" s="23"/>
    </row>
    <row r="699" spans="1:6" ht="16.5">
      <c r="A699" s="23"/>
      <c r="B699" s="23"/>
      <c r="C699" s="23"/>
      <c r="D699" s="23"/>
      <c r="E699" s="23"/>
      <c r="F699" s="23"/>
    </row>
    <row r="700" spans="1:6" ht="16.5">
      <c r="A700" s="23"/>
      <c r="B700" s="23"/>
      <c r="C700" s="23"/>
      <c r="D700" s="23"/>
      <c r="E700" s="23"/>
      <c r="F700" s="23"/>
    </row>
    <row r="701" spans="1:6" ht="16.5">
      <c r="A701" s="23"/>
      <c r="B701" s="23"/>
      <c r="C701" s="23"/>
      <c r="D701" s="23"/>
      <c r="E701" s="23"/>
      <c r="F701" s="23"/>
    </row>
    <row r="702" spans="1:6" ht="16.5">
      <c r="A702" s="23"/>
      <c r="B702" s="23"/>
      <c r="C702" s="23"/>
      <c r="D702" s="23"/>
      <c r="E702" s="23"/>
      <c r="F702" s="23"/>
    </row>
    <row r="703" spans="1:6" ht="16.5">
      <c r="A703" s="23"/>
      <c r="B703" s="23"/>
      <c r="C703" s="23"/>
      <c r="D703" s="23"/>
      <c r="E703" s="23"/>
      <c r="F703" s="23"/>
    </row>
    <row r="704" spans="1:6" ht="16.5">
      <c r="A704" s="23"/>
      <c r="B704" s="23"/>
      <c r="C704" s="23"/>
      <c r="D704" s="23"/>
      <c r="E704" s="23"/>
      <c r="F704" s="23"/>
    </row>
    <row r="705" spans="1:6" ht="16.5">
      <c r="A705" s="23"/>
      <c r="B705" s="23"/>
      <c r="C705" s="23"/>
      <c r="D705" s="23"/>
      <c r="E705" s="23"/>
      <c r="F705" s="23"/>
    </row>
    <row r="706" spans="1:6" ht="16.5">
      <c r="A706" s="23"/>
      <c r="B706" s="23"/>
      <c r="C706" s="23"/>
      <c r="D706" s="23"/>
      <c r="E706" s="23"/>
      <c r="F706" s="23"/>
    </row>
    <row r="707" spans="1:6" ht="16.5">
      <c r="A707" s="23"/>
      <c r="B707" s="23"/>
      <c r="C707" s="23"/>
      <c r="D707" s="23"/>
      <c r="E707" s="23"/>
      <c r="F707" s="23"/>
    </row>
    <row r="708" spans="1:6" ht="16.5">
      <c r="A708" s="23"/>
      <c r="B708" s="23"/>
      <c r="C708" s="23"/>
      <c r="D708" s="23"/>
      <c r="E708" s="23"/>
      <c r="F708" s="23"/>
    </row>
    <row r="709" spans="1:6" ht="16.5">
      <c r="A709" s="23"/>
      <c r="B709" s="23"/>
      <c r="C709" s="23"/>
      <c r="D709" s="23"/>
      <c r="E709" s="23"/>
      <c r="F709" s="23"/>
    </row>
    <row r="710" spans="1:6" ht="16.5">
      <c r="A710" s="23"/>
      <c r="B710" s="23"/>
      <c r="C710" s="23"/>
      <c r="D710" s="23"/>
      <c r="E710" s="23"/>
      <c r="F710" s="23"/>
    </row>
    <row r="711" spans="1:6" ht="16.5">
      <c r="A711" s="23"/>
      <c r="B711" s="23"/>
      <c r="C711" s="23"/>
      <c r="D711" s="23"/>
      <c r="E711" s="23"/>
      <c r="F711" s="23"/>
    </row>
    <row r="712" spans="1:6" ht="16.5">
      <c r="A712" s="23"/>
      <c r="B712" s="23"/>
      <c r="C712" s="23"/>
      <c r="D712" s="23"/>
      <c r="E712" s="23"/>
      <c r="F712" s="23"/>
    </row>
    <row r="713" spans="1:6" ht="16.5">
      <c r="A713" s="23"/>
      <c r="B713" s="23"/>
      <c r="C713" s="23"/>
      <c r="D713" s="23"/>
      <c r="E713" s="23"/>
      <c r="F713" s="23"/>
    </row>
    <row r="714" spans="1:6" ht="16.5">
      <c r="A714" s="23"/>
      <c r="B714" s="23"/>
      <c r="C714" s="23"/>
      <c r="D714" s="23"/>
      <c r="E714" s="23"/>
      <c r="F714" s="23"/>
    </row>
    <row r="715" spans="1:6" ht="16.5">
      <c r="A715" s="23"/>
      <c r="B715" s="23"/>
      <c r="C715" s="23"/>
      <c r="D715" s="23"/>
      <c r="E715" s="23"/>
      <c r="F715" s="23"/>
    </row>
    <row r="716" spans="1:6" ht="16.5">
      <c r="A716" s="23"/>
      <c r="B716" s="23"/>
      <c r="C716" s="23"/>
      <c r="D716" s="23"/>
      <c r="E716" s="23"/>
      <c r="F716" s="23"/>
    </row>
    <row r="717" spans="1:6" ht="16.5">
      <c r="A717" s="23"/>
      <c r="B717" s="23"/>
      <c r="C717" s="23"/>
      <c r="D717" s="23"/>
      <c r="E717" s="23"/>
      <c r="F717" s="23"/>
    </row>
    <row r="718" spans="1:6" ht="16.5">
      <c r="A718" s="23"/>
      <c r="B718" s="23"/>
      <c r="C718" s="23"/>
      <c r="D718" s="23"/>
      <c r="E718" s="23"/>
      <c r="F718" s="23"/>
    </row>
    <row r="719" spans="1:6" ht="16.5">
      <c r="A719" s="23"/>
      <c r="B719" s="23"/>
      <c r="C719" s="23"/>
      <c r="D719" s="23"/>
      <c r="E719" s="23"/>
      <c r="F719" s="23"/>
    </row>
    <row r="720" spans="1:6" ht="16.5">
      <c r="A720" s="23"/>
      <c r="B720" s="23"/>
      <c r="C720" s="23"/>
      <c r="D720" s="23"/>
      <c r="E720" s="23"/>
      <c r="F720" s="23"/>
    </row>
    <row r="721" spans="1:6" ht="16.5">
      <c r="A721" s="23"/>
      <c r="B721" s="23"/>
      <c r="C721" s="23"/>
      <c r="D721" s="23"/>
      <c r="E721" s="23"/>
      <c r="F721" s="23"/>
    </row>
    <row r="722" spans="1:6" ht="16.5">
      <c r="A722" s="23"/>
      <c r="B722" s="23"/>
      <c r="C722" s="23"/>
      <c r="D722" s="23"/>
      <c r="E722" s="23"/>
      <c r="F722" s="23"/>
    </row>
    <row r="723" spans="1:6" ht="16.5">
      <c r="A723" s="23"/>
      <c r="B723" s="23"/>
      <c r="C723" s="23"/>
      <c r="D723" s="23"/>
      <c r="E723" s="23"/>
      <c r="F723" s="23"/>
    </row>
    <row r="724" spans="1:6" ht="16.5">
      <c r="A724" s="23"/>
      <c r="B724" s="23"/>
      <c r="C724" s="23"/>
      <c r="D724" s="23"/>
      <c r="E724" s="23"/>
      <c r="F724" s="23"/>
    </row>
    <row r="725" spans="1:6" ht="16.5">
      <c r="A725" s="23"/>
      <c r="B725" s="23"/>
      <c r="C725" s="23"/>
      <c r="D725" s="23"/>
      <c r="E725" s="23"/>
      <c r="F725" s="23"/>
    </row>
    <row r="726" spans="1:6" ht="16.5">
      <c r="A726" s="23"/>
      <c r="B726" s="23"/>
      <c r="C726" s="23"/>
      <c r="D726" s="23"/>
      <c r="E726" s="23"/>
      <c r="F726" s="23"/>
    </row>
    <row r="727" spans="1:6" ht="16.5">
      <c r="A727" s="23"/>
      <c r="B727" s="23"/>
      <c r="C727" s="23"/>
      <c r="D727" s="23"/>
      <c r="E727" s="23"/>
      <c r="F727" s="23"/>
    </row>
    <row r="728" spans="1:6" ht="16.5">
      <c r="A728" s="23"/>
      <c r="B728" s="23"/>
      <c r="C728" s="23"/>
      <c r="D728" s="23"/>
      <c r="E728" s="23"/>
      <c r="F728" s="23"/>
    </row>
    <row r="729" spans="1:6" ht="16.5">
      <c r="A729" s="23"/>
      <c r="B729" s="23"/>
      <c r="C729" s="23"/>
      <c r="D729" s="23"/>
      <c r="E729" s="23"/>
      <c r="F729" s="23"/>
    </row>
    <row r="730" spans="1:6" ht="16.5">
      <c r="A730" s="23"/>
      <c r="B730" s="23"/>
      <c r="C730" s="23"/>
      <c r="D730" s="23"/>
      <c r="E730" s="23"/>
      <c r="F730" s="23"/>
    </row>
    <row r="731" spans="1:6" ht="16.5">
      <c r="A731" s="23"/>
      <c r="B731" s="23"/>
      <c r="C731" s="23"/>
      <c r="D731" s="23"/>
      <c r="E731" s="23"/>
      <c r="F731" s="23"/>
    </row>
    <row r="732" spans="1:6" ht="16.5">
      <c r="A732" s="23"/>
      <c r="B732" s="23"/>
      <c r="C732" s="23"/>
      <c r="D732" s="23"/>
      <c r="E732" s="23"/>
      <c r="F732" s="23"/>
    </row>
    <row r="733" spans="1:6" ht="16.5">
      <c r="A733" s="23"/>
      <c r="B733" s="23"/>
      <c r="C733" s="23"/>
      <c r="D733" s="23"/>
      <c r="E733" s="23"/>
      <c r="F733" s="23"/>
    </row>
    <row r="734" spans="1:6" ht="16.5">
      <c r="A734" s="23"/>
      <c r="B734" s="23"/>
      <c r="C734" s="23"/>
      <c r="D734" s="23"/>
      <c r="E734" s="23"/>
      <c r="F734" s="23"/>
    </row>
    <row r="735" spans="1:6" ht="16.5">
      <c r="A735" s="23"/>
      <c r="B735" s="23"/>
      <c r="C735" s="23"/>
      <c r="D735" s="23"/>
      <c r="E735" s="23"/>
      <c r="F735" s="23"/>
    </row>
    <row r="736" spans="1:6" ht="16.5">
      <c r="A736" s="23"/>
      <c r="B736" s="23"/>
      <c r="C736" s="23"/>
      <c r="D736" s="23"/>
      <c r="E736" s="23"/>
      <c r="F736" s="23"/>
    </row>
    <row r="737" spans="1:6" ht="16.5">
      <c r="A737" s="23"/>
      <c r="B737" s="23"/>
      <c r="C737" s="23"/>
      <c r="D737" s="23"/>
      <c r="E737" s="23"/>
      <c r="F737" s="23"/>
    </row>
    <row r="738" spans="1:6" ht="16.5">
      <c r="A738" s="23"/>
      <c r="B738" s="23"/>
      <c r="C738" s="23"/>
      <c r="D738" s="23"/>
      <c r="E738" s="23"/>
      <c r="F738" s="23"/>
    </row>
    <row r="739" spans="1:6" ht="16.5">
      <c r="A739" s="23"/>
      <c r="B739" s="23"/>
      <c r="C739" s="23"/>
      <c r="D739" s="23"/>
      <c r="E739" s="23"/>
      <c r="F739" s="23"/>
    </row>
    <row r="740" spans="1:6" ht="16.5">
      <c r="A740" s="23"/>
      <c r="B740" s="23"/>
      <c r="C740" s="23"/>
      <c r="D740" s="23"/>
      <c r="E740" s="23"/>
      <c r="F740" s="23"/>
    </row>
    <row r="741" spans="1:6" ht="16.5">
      <c r="A741" s="23"/>
      <c r="B741" s="23"/>
      <c r="C741" s="23"/>
      <c r="D741" s="23"/>
      <c r="E741" s="23"/>
      <c r="F741" s="23"/>
    </row>
    <row r="742" spans="1:6" ht="16.5">
      <c r="A742" s="23"/>
      <c r="B742" s="23"/>
      <c r="C742" s="23"/>
      <c r="D742" s="23"/>
      <c r="E742" s="23"/>
      <c r="F742" s="23"/>
    </row>
    <row r="743" spans="1:6" ht="16.5">
      <c r="A743" s="23"/>
      <c r="B743" s="23"/>
      <c r="C743" s="23"/>
      <c r="D743" s="23"/>
      <c r="E743" s="23"/>
      <c r="F743" s="23"/>
    </row>
    <row r="744" spans="1:6" ht="16.5">
      <c r="A744" s="23"/>
      <c r="B744" s="23"/>
      <c r="C744" s="23"/>
      <c r="D744" s="23"/>
      <c r="E744" s="23"/>
      <c r="F744" s="23"/>
    </row>
    <row r="745" spans="1:6" ht="16.5">
      <c r="A745" s="23"/>
      <c r="B745" s="23"/>
      <c r="C745" s="23"/>
      <c r="D745" s="23"/>
      <c r="E745" s="23"/>
      <c r="F745" s="23"/>
    </row>
    <row r="746" spans="1:6" ht="16.5">
      <c r="A746" s="23"/>
      <c r="B746" s="23"/>
      <c r="C746" s="23"/>
      <c r="D746" s="23"/>
      <c r="E746" s="23"/>
      <c r="F746" s="23"/>
    </row>
    <row r="747" spans="1:6" ht="16.5">
      <c r="A747" s="23"/>
      <c r="B747" s="23"/>
      <c r="C747" s="23"/>
      <c r="D747" s="23"/>
      <c r="E747" s="23"/>
      <c r="F747" s="23"/>
    </row>
    <row r="748" spans="1:6" ht="16.5">
      <c r="A748" s="23"/>
      <c r="B748" s="23"/>
      <c r="C748" s="23"/>
      <c r="D748" s="23"/>
      <c r="E748" s="23"/>
      <c r="F748" s="23"/>
    </row>
    <row r="749" spans="1:6" ht="16.5">
      <c r="A749" s="23"/>
      <c r="B749" s="23"/>
      <c r="C749" s="23"/>
      <c r="D749" s="23"/>
      <c r="E749" s="23"/>
      <c r="F749" s="23"/>
    </row>
    <row r="750" spans="1:6" ht="16.5">
      <c r="A750" s="23"/>
      <c r="B750" s="23"/>
      <c r="C750" s="23"/>
      <c r="D750" s="23"/>
      <c r="E750" s="23"/>
      <c r="F750" s="23"/>
    </row>
    <row r="751" spans="1:6" ht="16.5">
      <c r="A751" s="23"/>
      <c r="B751" s="23"/>
      <c r="C751" s="23"/>
      <c r="D751" s="23"/>
      <c r="E751" s="23"/>
      <c r="F751" s="23"/>
    </row>
    <row r="752" spans="1:6" ht="16.5">
      <c r="A752" s="23"/>
      <c r="B752" s="23"/>
      <c r="C752" s="23"/>
      <c r="D752" s="23"/>
      <c r="E752" s="23"/>
      <c r="F752" s="23"/>
    </row>
    <row r="753" spans="1:6" ht="16.5">
      <c r="A753" s="23"/>
      <c r="B753" s="23"/>
      <c r="C753" s="23"/>
      <c r="D753" s="23"/>
      <c r="E753" s="23"/>
      <c r="F753" s="23"/>
    </row>
    <row r="754" spans="1:6" ht="16.5">
      <c r="A754" s="23"/>
      <c r="B754" s="23"/>
      <c r="C754" s="23"/>
      <c r="D754" s="23"/>
      <c r="E754" s="23"/>
      <c r="F754" s="23"/>
    </row>
    <row r="755" spans="1:6" ht="16.5">
      <c r="A755" s="23"/>
      <c r="B755" s="23"/>
      <c r="C755" s="23"/>
      <c r="D755" s="23"/>
      <c r="E755" s="23"/>
      <c r="F755" s="23"/>
    </row>
    <row r="756" spans="1:6" ht="16.5">
      <c r="A756" s="23"/>
      <c r="B756" s="23"/>
      <c r="C756" s="23"/>
      <c r="D756" s="23"/>
      <c r="E756" s="23"/>
      <c r="F756" s="23"/>
    </row>
    <row r="757" spans="1:6" ht="16.5">
      <c r="A757" s="23"/>
      <c r="B757" s="23"/>
      <c r="C757" s="23"/>
      <c r="D757" s="23"/>
      <c r="E757" s="23"/>
      <c r="F757" s="23"/>
    </row>
    <row r="758" spans="1:6" ht="16.5">
      <c r="A758" s="23"/>
      <c r="B758" s="23"/>
      <c r="C758" s="23"/>
      <c r="D758" s="23"/>
      <c r="E758" s="23"/>
      <c r="F758" s="23"/>
    </row>
    <row r="759" spans="1:6" ht="16.5">
      <c r="A759" s="23"/>
      <c r="B759" s="23"/>
      <c r="C759" s="23"/>
      <c r="D759" s="23"/>
      <c r="E759" s="23"/>
      <c r="F759" s="23"/>
    </row>
    <row r="760" spans="1:6" ht="16.5">
      <c r="A760" s="23"/>
      <c r="B760" s="23"/>
      <c r="C760" s="23"/>
      <c r="D760" s="23"/>
      <c r="E760" s="23"/>
      <c r="F760" s="23"/>
    </row>
    <row r="761" spans="1:6" ht="16.5">
      <c r="A761" s="23"/>
      <c r="B761" s="23"/>
      <c r="C761" s="23"/>
      <c r="D761" s="23"/>
      <c r="E761" s="23"/>
      <c r="F761" s="23"/>
    </row>
    <row r="762" spans="1:6" ht="16.5">
      <c r="A762" s="23"/>
      <c r="B762" s="23"/>
      <c r="C762" s="23"/>
      <c r="D762" s="23"/>
      <c r="E762" s="23"/>
      <c r="F762" s="23"/>
    </row>
    <row r="763" spans="1:6" ht="16.5">
      <c r="A763" s="23"/>
      <c r="B763" s="23"/>
      <c r="C763" s="23"/>
      <c r="D763" s="23"/>
      <c r="E763" s="23"/>
      <c r="F763" s="23"/>
    </row>
    <row r="764" spans="1:6" ht="16.5">
      <c r="A764" s="23"/>
      <c r="B764" s="23"/>
      <c r="C764" s="23"/>
      <c r="D764" s="23"/>
      <c r="E764" s="23"/>
      <c r="F764" s="23"/>
    </row>
    <row r="765" spans="1:6" ht="16.5">
      <c r="A765" s="23"/>
      <c r="B765" s="23"/>
      <c r="C765" s="23"/>
      <c r="D765" s="23"/>
      <c r="E765" s="23"/>
      <c r="F765" s="23"/>
    </row>
    <row r="766" spans="1:6" ht="16.5">
      <c r="A766" s="23"/>
      <c r="B766" s="23"/>
      <c r="C766" s="23"/>
      <c r="D766" s="23"/>
      <c r="E766" s="23"/>
      <c r="F766" s="23"/>
    </row>
    <row r="767" spans="1:6" ht="16.5">
      <c r="A767" s="23"/>
      <c r="B767" s="23"/>
      <c r="C767" s="23"/>
      <c r="D767" s="23"/>
      <c r="E767" s="23"/>
      <c r="F767" s="23"/>
    </row>
    <row r="768" spans="1:6" ht="16.5">
      <c r="A768" s="23"/>
      <c r="B768" s="23"/>
      <c r="C768" s="23"/>
      <c r="D768" s="23"/>
      <c r="E768" s="23"/>
      <c r="F768" s="23"/>
    </row>
    <row r="769" spans="1:6" ht="16.5">
      <c r="A769" s="23"/>
      <c r="B769" s="23"/>
      <c r="C769" s="23"/>
      <c r="D769" s="23"/>
      <c r="E769" s="23"/>
      <c r="F769" s="23"/>
    </row>
    <row r="770" spans="1:6" ht="16.5">
      <c r="A770" s="23"/>
      <c r="B770" s="23"/>
      <c r="C770" s="23"/>
      <c r="D770" s="23"/>
      <c r="E770" s="23"/>
      <c r="F770" s="23"/>
    </row>
    <row r="771" spans="1:6" ht="16.5">
      <c r="A771" s="23"/>
      <c r="B771" s="23"/>
      <c r="C771" s="23"/>
      <c r="D771" s="23"/>
      <c r="E771" s="23"/>
      <c r="F771" s="23"/>
    </row>
    <row r="772" spans="1:6" ht="16.5">
      <c r="A772" s="23"/>
      <c r="B772" s="23"/>
      <c r="C772" s="23"/>
      <c r="D772" s="23"/>
      <c r="E772" s="23"/>
      <c r="F772" s="23"/>
    </row>
    <row r="773" spans="1:6" ht="16.5">
      <c r="A773" s="23"/>
      <c r="B773" s="23"/>
      <c r="C773" s="23"/>
      <c r="D773" s="23"/>
      <c r="E773" s="23"/>
      <c r="F773" s="23"/>
    </row>
    <row r="774" spans="1:6" ht="16.5">
      <c r="A774" s="23"/>
      <c r="B774" s="23"/>
      <c r="C774" s="23"/>
      <c r="D774" s="23"/>
      <c r="E774" s="23"/>
      <c r="F774" s="23"/>
    </row>
    <row r="775" spans="1:6" ht="16.5">
      <c r="A775" s="23"/>
      <c r="B775" s="23"/>
      <c r="C775" s="23"/>
      <c r="D775" s="23"/>
      <c r="E775" s="23"/>
      <c r="F775" s="23"/>
    </row>
    <row r="776" spans="1:6" ht="16.5">
      <c r="A776" s="23"/>
      <c r="B776" s="23"/>
      <c r="C776" s="23"/>
      <c r="D776" s="23"/>
      <c r="E776" s="23"/>
      <c r="F776" s="23"/>
    </row>
    <row r="777" spans="1:6" ht="16.5">
      <c r="A777" s="23"/>
      <c r="B777" s="23"/>
      <c r="C777" s="23"/>
      <c r="D777" s="23"/>
      <c r="E777" s="23"/>
      <c r="F777" s="23"/>
    </row>
    <row r="778" spans="1:6" ht="16.5">
      <c r="A778" s="23"/>
      <c r="B778" s="23"/>
      <c r="C778" s="23"/>
      <c r="D778" s="23"/>
      <c r="E778" s="23"/>
      <c r="F778" s="23"/>
    </row>
    <row r="779" spans="1:6" ht="16.5">
      <c r="A779" s="23"/>
      <c r="B779" s="23"/>
      <c r="C779" s="23"/>
      <c r="D779" s="23"/>
      <c r="E779" s="23"/>
      <c r="F779" s="23"/>
    </row>
    <row r="780" spans="1:6" ht="16.5">
      <c r="A780" s="23"/>
      <c r="B780" s="23"/>
      <c r="C780" s="23"/>
      <c r="D780" s="23"/>
      <c r="E780" s="23"/>
      <c r="F780" s="23"/>
    </row>
    <row r="781" spans="1:6" ht="16.5">
      <c r="A781" s="23"/>
      <c r="B781" s="23"/>
      <c r="C781" s="23"/>
      <c r="D781" s="23"/>
      <c r="E781" s="23"/>
      <c r="F781" s="23"/>
    </row>
    <row r="782" spans="1:6" ht="16.5">
      <c r="A782" s="23"/>
      <c r="B782" s="23"/>
      <c r="C782" s="23"/>
      <c r="D782" s="23"/>
      <c r="E782" s="23"/>
      <c r="F782" s="23"/>
    </row>
    <row r="783" spans="1:6" ht="16.5">
      <c r="A783" s="23"/>
      <c r="B783" s="23"/>
      <c r="C783" s="23"/>
      <c r="D783" s="23"/>
      <c r="E783" s="23"/>
      <c r="F783" s="23"/>
    </row>
    <row r="784" spans="1:6" ht="16.5">
      <c r="A784" s="23"/>
      <c r="B784" s="23"/>
      <c r="C784" s="23"/>
      <c r="D784" s="23"/>
      <c r="E784" s="23"/>
      <c r="F784" s="23"/>
    </row>
    <row r="785" spans="1:6" ht="16.5">
      <c r="A785" s="23"/>
      <c r="B785" s="23"/>
      <c r="C785" s="23"/>
      <c r="D785" s="23"/>
      <c r="E785" s="23"/>
      <c r="F785" s="23"/>
    </row>
    <row r="786" spans="1:6" ht="16.5">
      <c r="A786" s="23"/>
      <c r="B786" s="23"/>
      <c r="C786" s="23"/>
      <c r="D786" s="23"/>
      <c r="E786" s="23"/>
      <c r="F786" s="23"/>
    </row>
    <row r="787" spans="1:6" ht="16.5">
      <c r="A787" s="23"/>
      <c r="B787" s="23"/>
      <c r="C787" s="23"/>
      <c r="D787" s="23"/>
      <c r="E787" s="23"/>
      <c r="F787" s="23"/>
    </row>
    <row r="788" spans="1:6" ht="16.5">
      <c r="A788" s="23"/>
      <c r="B788" s="23"/>
      <c r="C788" s="23"/>
      <c r="D788" s="23"/>
      <c r="E788" s="23"/>
      <c r="F788" s="23"/>
    </row>
    <row r="789" spans="1:6" ht="16.5">
      <c r="A789" s="23"/>
      <c r="B789" s="23"/>
      <c r="C789" s="23"/>
      <c r="D789" s="23"/>
      <c r="E789" s="23"/>
      <c r="F789" s="23"/>
    </row>
    <row r="790" spans="1:6" ht="16.5">
      <c r="A790" s="23"/>
      <c r="B790" s="23"/>
      <c r="C790" s="23"/>
      <c r="D790" s="23"/>
      <c r="E790" s="23"/>
      <c r="F790" s="23"/>
    </row>
    <row r="791" spans="1:6" ht="16.5">
      <c r="A791" s="23"/>
      <c r="B791" s="23"/>
      <c r="C791" s="23"/>
      <c r="D791" s="23"/>
      <c r="E791" s="23"/>
      <c r="F791" s="23"/>
    </row>
    <row r="792" spans="1:6" ht="16.5">
      <c r="A792" s="23"/>
      <c r="B792" s="23"/>
      <c r="C792" s="23"/>
      <c r="D792" s="23"/>
      <c r="E792" s="23"/>
      <c r="F792" s="23"/>
    </row>
    <row r="793" spans="1:6" ht="16.5">
      <c r="A793" s="23"/>
      <c r="B793" s="23"/>
      <c r="C793" s="23"/>
      <c r="D793" s="23"/>
      <c r="E793" s="23"/>
      <c r="F793" s="23"/>
    </row>
    <row r="794" spans="1:6" ht="16.5">
      <c r="A794" s="23"/>
      <c r="B794" s="23"/>
      <c r="C794" s="23"/>
      <c r="D794" s="23"/>
      <c r="E794" s="23"/>
      <c r="F794" s="23"/>
    </row>
    <row r="795" spans="1:6" ht="16.5">
      <c r="A795" s="23"/>
      <c r="B795" s="23"/>
      <c r="C795" s="23"/>
      <c r="D795" s="23"/>
      <c r="E795" s="23"/>
      <c r="F795" s="23"/>
    </row>
    <row r="796" spans="1:6" ht="16.5">
      <c r="A796" s="23"/>
      <c r="B796" s="23"/>
      <c r="C796" s="23"/>
      <c r="D796" s="23"/>
      <c r="E796" s="23"/>
      <c r="F796" s="23"/>
    </row>
    <row r="797" spans="1:6" ht="16.5">
      <c r="A797" s="23"/>
      <c r="B797" s="23"/>
      <c r="C797" s="23"/>
      <c r="D797" s="23"/>
      <c r="E797" s="23"/>
      <c r="F797" s="23"/>
    </row>
    <row r="798" spans="1:6" ht="16.5">
      <c r="A798" s="23"/>
      <c r="B798" s="23"/>
      <c r="C798" s="23"/>
      <c r="D798" s="23"/>
      <c r="E798" s="23"/>
      <c r="F798" s="23"/>
    </row>
    <row r="799" spans="1:6" ht="16.5">
      <c r="A799" s="23"/>
      <c r="B799" s="23"/>
      <c r="C799" s="23"/>
      <c r="D799" s="23"/>
      <c r="E799" s="23"/>
      <c r="F799" s="23"/>
    </row>
    <row r="800" spans="1:6" ht="16.5">
      <c r="A800" s="23"/>
      <c r="B800" s="23"/>
      <c r="C800" s="23"/>
      <c r="D800" s="23"/>
      <c r="E800" s="23"/>
      <c r="F800" s="23"/>
    </row>
    <row r="801" spans="1:6" ht="16.5">
      <c r="A801" s="23"/>
      <c r="B801" s="23"/>
      <c r="C801" s="23"/>
      <c r="D801" s="23"/>
      <c r="E801" s="23"/>
      <c r="F801" s="23"/>
    </row>
    <row r="802" spans="1:6" ht="16.5">
      <c r="A802" s="23"/>
      <c r="B802" s="23"/>
      <c r="C802" s="23"/>
      <c r="D802" s="23"/>
      <c r="E802" s="23"/>
      <c r="F802" s="23"/>
    </row>
    <row r="803" spans="1:6" ht="16.5">
      <c r="A803" s="23"/>
      <c r="B803" s="23"/>
      <c r="C803" s="23"/>
      <c r="D803" s="23"/>
      <c r="E803" s="23"/>
      <c r="F803" s="23"/>
    </row>
    <row r="804" spans="1:6" ht="16.5">
      <c r="A804" s="23"/>
      <c r="B804" s="23"/>
      <c r="C804" s="23"/>
      <c r="D804" s="23"/>
      <c r="E804" s="23"/>
      <c r="F804" s="23"/>
    </row>
    <row r="805" spans="1:6" ht="16.5">
      <c r="A805" s="23"/>
      <c r="B805" s="23"/>
      <c r="C805" s="23"/>
      <c r="D805" s="23"/>
      <c r="E805" s="23"/>
      <c r="F805" s="23"/>
    </row>
    <row r="806" spans="1:6" ht="16.5">
      <c r="A806" s="23"/>
      <c r="B806" s="23"/>
      <c r="C806" s="23"/>
      <c r="D806" s="23"/>
      <c r="E806" s="23"/>
      <c r="F806" s="23"/>
    </row>
    <row r="807" spans="1:6" ht="16.5">
      <c r="A807" s="23"/>
      <c r="B807" s="23"/>
      <c r="C807" s="23"/>
      <c r="D807" s="23"/>
      <c r="E807" s="23"/>
      <c r="F807" s="23"/>
    </row>
    <row r="808" spans="1:6" ht="16.5">
      <c r="A808" s="23"/>
      <c r="B808" s="23"/>
      <c r="C808" s="23"/>
      <c r="D808" s="23"/>
      <c r="E808" s="23"/>
      <c r="F808" s="23"/>
    </row>
    <row r="809" spans="1:6" ht="16.5">
      <c r="A809" s="23"/>
      <c r="B809" s="23"/>
      <c r="C809" s="23"/>
      <c r="D809" s="23"/>
      <c r="E809" s="23"/>
      <c r="F809" s="23"/>
    </row>
    <row r="810" spans="1:6" ht="16.5">
      <c r="A810" s="23"/>
      <c r="B810" s="23"/>
      <c r="C810" s="23"/>
      <c r="D810" s="23"/>
      <c r="E810" s="23"/>
      <c r="F810" s="23"/>
    </row>
    <row r="811" spans="1:6" ht="16.5">
      <c r="A811" s="23"/>
      <c r="B811" s="23"/>
      <c r="C811" s="23"/>
      <c r="D811" s="23"/>
      <c r="E811" s="23"/>
      <c r="F811" s="23"/>
    </row>
    <row r="812" spans="1:6" ht="16.5">
      <c r="A812" s="23"/>
      <c r="B812" s="23"/>
      <c r="C812" s="23"/>
      <c r="D812" s="23"/>
      <c r="E812" s="23"/>
      <c r="F812" s="23"/>
    </row>
    <row r="813" spans="1:6" ht="16.5">
      <c r="A813" s="23"/>
      <c r="B813" s="23"/>
      <c r="C813" s="23"/>
      <c r="D813" s="23"/>
      <c r="E813" s="23"/>
      <c r="F813" s="23"/>
    </row>
    <row r="814" spans="1:6" ht="16.5">
      <c r="A814" s="23"/>
      <c r="B814" s="23"/>
      <c r="C814" s="23"/>
      <c r="D814" s="23"/>
      <c r="E814" s="23"/>
      <c r="F814" s="23"/>
    </row>
    <row r="815" spans="1:6" ht="16.5">
      <c r="A815" s="23"/>
      <c r="B815" s="23"/>
      <c r="C815" s="23"/>
      <c r="D815" s="23"/>
      <c r="E815" s="23"/>
      <c r="F815" s="23"/>
    </row>
    <row r="816" spans="1:6" ht="16.5">
      <c r="A816" s="23"/>
      <c r="B816" s="23"/>
      <c r="C816" s="23"/>
      <c r="D816" s="23"/>
      <c r="E816" s="23"/>
      <c r="F816" s="23"/>
    </row>
    <row r="817" spans="1:6" ht="16.5">
      <c r="A817" s="23"/>
      <c r="B817" s="23"/>
      <c r="C817" s="23"/>
      <c r="D817" s="23"/>
      <c r="E817" s="23"/>
      <c r="F817" s="23"/>
    </row>
    <row r="818" spans="1:6" ht="16.5">
      <c r="A818" s="23"/>
      <c r="B818" s="23"/>
      <c r="C818" s="23"/>
      <c r="D818" s="23"/>
      <c r="E818" s="23"/>
      <c r="F818" s="23"/>
    </row>
    <row r="819" spans="1:6" ht="16.5">
      <c r="A819" s="23"/>
      <c r="B819" s="23"/>
      <c r="C819" s="23"/>
      <c r="D819" s="23"/>
      <c r="E819" s="23"/>
      <c r="F819" s="23"/>
    </row>
    <row r="820" spans="1:6" ht="16.5">
      <c r="A820" s="23"/>
      <c r="B820" s="23"/>
      <c r="C820" s="23"/>
      <c r="D820" s="23"/>
      <c r="E820" s="23"/>
      <c r="F820" s="23"/>
    </row>
    <row r="821" spans="1:6" ht="16.5">
      <c r="A821" s="23"/>
      <c r="B821" s="23"/>
      <c r="C821" s="23"/>
      <c r="D821" s="23"/>
      <c r="E821" s="23"/>
      <c r="F821" s="23"/>
    </row>
    <row r="822" spans="1:6" ht="16.5">
      <c r="A822" s="23"/>
      <c r="B822" s="23"/>
      <c r="C822" s="23"/>
      <c r="D822" s="23"/>
      <c r="E822" s="23"/>
      <c r="F822" s="23"/>
    </row>
    <row r="823" spans="1:6" ht="16.5">
      <c r="A823" s="23"/>
      <c r="B823" s="23"/>
      <c r="C823" s="23"/>
      <c r="D823" s="23"/>
      <c r="E823" s="23"/>
      <c r="F823" s="23"/>
    </row>
    <row r="824" spans="1:6" ht="16.5">
      <c r="A824" s="23"/>
      <c r="B824" s="23"/>
      <c r="C824" s="23"/>
      <c r="D824" s="23"/>
      <c r="E824" s="23"/>
      <c r="F824" s="23"/>
    </row>
    <row r="825" spans="1:6" ht="16.5">
      <c r="A825" s="23"/>
      <c r="B825" s="23"/>
      <c r="C825" s="23"/>
      <c r="D825" s="23"/>
      <c r="E825" s="23"/>
      <c r="F825" s="23"/>
    </row>
    <row r="826" spans="1:6" ht="16.5">
      <c r="A826" s="23"/>
      <c r="B826" s="23"/>
      <c r="C826" s="23"/>
      <c r="D826" s="23"/>
      <c r="E826" s="23"/>
      <c r="F826" s="23"/>
    </row>
    <row r="827" spans="1:6" ht="16.5">
      <c r="A827" s="23"/>
      <c r="B827" s="23"/>
      <c r="C827" s="23"/>
      <c r="D827" s="23"/>
      <c r="E827" s="23"/>
      <c r="F827" s="23"/>
    </row>
    <row r="828" spans="1:6" ht="16.5">
      <c r="A828" s="23"/>
      <c r="B828" s="23"/>
      <c r="C828" s="23"/>
      <c r="D828" s="23"/>
      <c r="E828" s="23"/>
      <c r="F828" s="23"/>
    </row>
    <row r="829" spans="1:6" ht="16.5">
      <c r="A829" s="23"/>
      <c r="B829" s="23"/>
      <c r="C829" s="23"/>
      <c r="D829" s="23"/>
      <c r="E829" s="23"/>
      <c r="F829" s="23"/>
    </row>
    <row r="830" spans="1:6" ht="16.5">
      <c r="A830" s="23"/>
      <c r="B830" s="23"/>
      <c r="C830" s="23"/>
      <c r="D830" s="23"/>
      <c r="E830" s="23"/>
      <c r="F830" s="23"/>
    </row>
    <row r="831" spans="1:6" ht="16.5">
      <c r="A831" s="23"/>
      <c r="B831" s="23"/>
      <c r="C831" s="23"/>
      <c r="D831" s="23"/>
      <c r="E831" s="23"/>
      <c r="F831" s="23"/>
    </row>
    <row r="832" spans="1:6" ht="16.5">
      <c r="A832" s="23"/>
      <c r="B832" s="23"/>
      <c r="C832" s="23"/>
      <c r="D832" s="23"/>
      <c r="E832" s="23"/>
      <c r="F832" s="23"/>
    </row>
    <row r="833" spans="1:6" ht="16.5">
      <c r="A833" s="23"/>
      <c r="B833" s="23"/>
      <c r="C833" s="23"/>
      <c r="D833" s="23"/>
      <c r="E833" s="23"/>
      <c r="F833" s="23"/>
    </row>
    <row r="834" spans="1:6" ht="16.5">
      <c r="A834" s="23"/>
      <c r="B834" s="23"/>
      <c r="C834" s="23"/>
      <c r="D834" s="23"/>
      <c r="E834" s="23"/>
      <c r="F834" s="23"/>
    </row>
    <row r="835" spans="1:6" ht="16.5">
      <c r="A835" s="23"/>
      <c r="B835" s="23"/>
      <c r="C835" s="23"/>
      <c r="D835" s="23"/>
      <c r="E835" s="23"/>
      <c r="F835" s="23"/>
    </row>
    <row r="836" spans="1:6" ht="16.5">
      <c r="A836" s="23"/>
      <c r="B836" s="23"/>
      <c r="C836" s="23"/>
      <c r="D836" s="23"/>
      <c r="E836" s="23"/>
      <c r="F836" s="23"/>
    </row>
    <row r="837" spans="1:6" ht="16.5">
      <c r="A837" s="23"/>
      <c r="B837" s="23"/>
      <c r="C837" s="23"/>
      <c r="D837" s="23"/>
      <c r="E837" s="23"/>
      <c r="F837" s="23"/>
    </row>
    <row r="838" spans="1:6" ht="16.5">
      <c r="A838" s="23"/>
      <c r="B838" s="23"/>
      <c r="C838" s="23"/>
      <c r="D838" s="23"/>
      <c r="E838" s="23"/>
      <c r="F838" s="23"/>
    </row>
    <row r="839" spans="1:6" ht="16.5">
      <c r="A839" s="23"/>
      <c r="B839" s="23"/>
      <c r="C839" s="23"/>
      <c r="D839" s="23"/>
      <c r="E839" s="23"/>
      <c r="F839" s="23"/>
    </row>
    <row r="840" spans="1:6" ht="16.5">
      <c r="A840" s="23"/>
      <c r="B840" s="23"/>
      <c r="C840" s="23"/>
      <c r="D840" s="23"/>
      <c r="E840" s="23"/>
      <c r="F840" s="23"/>
    </row>
    <row r="841" spans="1:6" ht="16.5">
      <c r="A841" s="23"/>
      <c r="B841" s="23"/>
      <c r="C841" s="23"/>
      <c r="D841" s="23"/>
      <c r="E841" s="23"/>
      <c r="F841" s="23"/>
    </row>
    <row r="842" spans="1:6" ht="16.5">
      <c r="A842" s="23"/>
      <c r="B842" s="23"/>
      <c r="C842" s="23"/>
      <c r="D842" s="23"/>
      <c r="E842" s="23"/>
      <c r="F842" s="23"/>
    </row>
    <row r="843" spans="1:6" ht="16.5">
      <c r="A843" s="23"/>
      <c r="B843" s="23"/>
      <c r="C843" s="23"/>
      <c r="D843" s="23"/>
      <c r="E843" s="23"/>
      <c r="F843" s="23"/>
    </row>
    <row r="844" spans="1:6" ht="16.5">
      <c r="A844" s="23"/>
      <c r="B844" s="23"/>
      <c r="C844" s="23"/>
      <c r="D844" s="23"/>
      <c r="E844" s="23"/>
      <c r="F844" s="23"/>
    </row>
    <row r="845" spans="1:6" ht="16.5">
      <c r="A845" s="23"/>
      <c r="B845" s="23"/>
      <c r="C845" s="23"/>
      <c r="D845" s="23"/>
      <c r="E845" s="23"/>
      <c r="F845" s="23"/>
    </row>
    <row r="846" spans="1:6" ht="16.5">
      <c r="A846" s="23"/>
      <c r="B846" s="23"/>
      <c r="C846" s="23"/>
      <c r="D846" s="23"/>
      <c r="E846" s="23"/>
      <c r="F846" s="23"/>
    </row>
    <row r="847" spans="1:6" ht="16.5">
      <c r="A847" s="23"/>
      <c r="B847" s="23"/>
      <c r="C847" s="23"/>
      <c r="D847" s="23"/>
      <c r="E847" s="23"/>
      <c r="F847" s="23"/>
    </row>
    <row r="848" spans="1:6" ht="16.5">
      <c r="A848" s="23"/>
      <c r="B848" s="23"/>
      <c r="C848" s="23"/>
      <c r="D848" s="23"/>
      <c r="E848" s="23"/>
      <c r="F848" s="23"/>
    </row>
    <row r="849" spans="1:6" ht="16.5">
      <c r="A849" s="23"/>
      <c r="B849" s="23"/>
      <c r="C849" s="23"/>
      <c r="D849" s="23"/>
      <c r="E849" s="23"/>
      <c r="F849" s="23"/>
    </row>
    <row r="850" spans="1:6" ht="16.5">
      <c r="A850" s="23"/>
      <c r="B850" s="23"/>
      <c r="C850" s="23"/>
      <c r="D850" s="23"/>
      <c r="E850" s="23"/>
      <c r="F850" s="23"/>
    </row>
    <row r="851" spans="1:6" ht="16.5">
      <c r="A851" s="23"/>
      <c r="B851" s="23"/>
      <c r="C851" s="23"/>
      <c r="D851" s="23"/>
      <c r="E851" s="23"/>
      <c r="F851" s="23"/>
    </row>
    <row r="852" spans="1:6" ht="16.5">
      <c r="A852" s="23"/>
      <c r="B852" s="23"/>
      <c r="C852" s="23"/>
      <c r="D852" s="23"/>
      <c r="E852" s="23"/>
      <c r="F852" s="23"/>
    </row>
    <row r="853" spans="1:6" ht="16.5">
      <c r="A853" s="23"/>
      <c r="B853" s="23"/>
      <c r="C853" s="23"/>
      <c r="D853" s="23"/>
      <c r="E853" s="23"/>
      <c r="F853" s="23"/>
    </row>
    <row r="854" spans="1:6" ht="16.5">
      <c r="A854" s="23"/>
      <c r="B854" s="23"/>
      <c r="C854" s="23"/>
      <c r="D854" s="23"/>
      <c r="E854" s="23"/>
      <c r="F854" s="23"/>
    </row>
    <row r="855" spans="1:6" ht="16.5">
      <c r="A855" s="23"/>
      <c r="B855" s="23"/>
      <c r="C855" s="23"/>
      <c r="D855" s="23"/>
      <c r="E855" s="23"/>
      <c r="F855" s="23"/>
    </row>
    <row r="856" spans="1:6" ht="16.5">
      <c r="A856" s="23"/>
      <c r="B856" s="23"/>
      <c r="C856" s="23"/>
      <c r="D856" s="23"/>
      <c r="E856" s="23"/>
      <c r="F856" s="23"/>
    </row>
    <row r="857" spans="1:6" ht="16.5">
      <c r="A857" s="23"/>
      <c r="B857" s="23"/>
      <c r="C857" s="23"/>
      <c r="D857" s="23"/>
      <c r="E857" s="23"/>
      <c r="F857" s="23"/>
    </row>
    <row r="858" spans="1:6" ht="16.5">
      <c r="A858" s="23"/>
      <c r="B858" s="23"/>
      <c r="C858" s="23"/>
      <c r="D858" s="23"/>
      <c r="E858" s="23"/>
      <c r="F858" s="23"/>
    </row>
    <row r="859" spans="1:6" ht="16.5">
      <c r="A859" s="23"/>
      <c r="B859" s="23"/>
      <c r="C859" s="23"/>
      <c r="D859" s="23"/>
      <c r="E859" s="23"/>
      <c r="F859" s="23"/>
    </row>
    <row r="860" spans="1:6" ht="16.5">
      <c r="A860" s="23"/>
      <c r="B860" s="23"/>
      <c r="C860" s="23"/>
      <c r="D860" s="23"/>
      <c r="E860" s="23"/>
      <c r="F860" s="23"/>
    </row>
    <row r="861" spans="1:6" ht="16.5">
      <c r="A861" s="23"/>
      <c r="B861" s="23"/>
      <c r="C861" s="23"/>
      <c r="D861" s="23"/>
      <c r="E861" s="23"/>
      <c r="F861" s="23"/>
    </row>
    <row r="862" spans="1:6" ht="16.5">
      <c r="A862" s="23"/>
      <c r="B862" s="23"/>
      <c r="C862" s="23"/>
      <c r="D862" s="23"/>
      <c r="E862" s="23"/>
      <c r="F862" s="23"/>
    </row>
    <row r="863" spans="1:6" ht="16.5">
      <c r="A863" s="23"/>
      <c r="B863" s="23"/>
      <c r="C863" s="23"/>
      <c r="D863" s="23"/>
      <c r="E863" s="23"/>
      <c r="F863" s="23"/>
    </row>
    <row r="864" spans="1:6" ht="16.5">
      <c r="A864" s="23"/>
      <c r="B864" s="23"/>
      <c r="C864" s="23"/>
      <c r="D864" s="23"/>
      <c r="E864" s="23"/>
      <c r="F864" s="23"/>
    </row>
    <row r="865" spans="1:6" ht="16.5">
      <c r="A865" s="23"/>
      <c r="B865" s="23"/>
      <c r="C865" s="23"/>
      <c r="D865" s="23"/>
      <c r="E865" s="23"/>
      <c r="F865" s="23"/>
    </row>
    <row r="866" spans="1:6" ht="16.5">
      <c r="A866" s="23"/>
      <c r="B866" s="23"/>
      <c r="C866" s="23"/>
      <c r="D866" s="23"/>
      <c r="E866" s="23"/>
      <c r="F866" s="23"/>
    </row>
    <row r="867" spans="1:6" ht="16.5">
      <c r="A867" s="23"/>
      <c r="B867" s="23"/>
      <c r="C867" s="23"/>
      <c r="D867" s="23"/>
      <c r="E867" s="23"/>
      <c r="F867" s="23"/>
    </row>
    <row r="868" spans="1:6" ht="16.5">
      <c r="A868" s="23"/>
      <c r="B868" s="23"/>
      <c r="C868" s="23"/>
      <c r="D868" s="23"/>
      <c r="E868" s="23"/>
      <c r="F868" s="23"/>
    </row>
    <row r="869" spans="1:6" ht="16.5">
      <c r="A869" s="23"/>
      <c r="B869" s="23"/>
      <c r="C869" s="23"/>
      <c r="D869" s="23"/>
      <c r="E869" s="23"/>
      <c r="F869" s="23"/>
    </row>
    <row r="870" spans="1:6" ht="16.5">
      <c r="A870" s="23"/>
      <c r="B870" s="23"/>
      <c r="C870" s="23"/>
      <c r="D870" s="23"/>
      <c r="E870" s="23"/>
      <c r="F870" s="23"/>
    </row>
    <row r="871" spans="1:6" ht="16.5">
      <c r="A871" s="23"/>
      <c r="B871" s="23"/>
      <c r="C871" s="23"/>
      <c r="D871" s="23"/>
      <c r="E871" s="23"/>
      <c r="F871" s="23"/>
    </row>
    <row r="872" spans="1:6" ht="16.5">
      <c r="A872" s="23"/>
      <c r="B872" s="23"/>
      <c r="C872" s="23"/>
      <c r="D872" s="23"/>
      <c r="E872" s="23"/>
      <c r="F872" s="23"/>
    </row>
    <row r="873" spans="1:6" ht="16.5">
      <c r="A873" s="23"/>
      <c r="B873" s="23"/>
      <c r="C873" s="23"/>
      <c r="D873" s="23"/>
      <c r="E873" s="23"/>
      <c r="F873" s="23"/>
    </row>
    <row r="874" spans="1:6" ht="16.5">
      <c r="A874" s="23"/>
      <c r="B874" s="23"/>
      <c r="C874" s="23"/>
      <c r="D874" s="23"/>
      <c r="E874" s="23"/>
      <c r="F874" s="23"/>
    </row>
    <row r="875" spans="1:6" ht="16.5">
      <c r="A875" s="23"/>
      <c r="B875" s="23"/>
      <c r="C875" s="23"/>
      <c r="D875" s="23"/>
      <c r="E875" s="23"/>
      <c r="F875" s="23"/>
    </row>
    <row r="876" spans="1:6" ht="16.5">
      <c r="A876" s="23"/>
      <c r="B876" s="23"/>
      <c r="C876" s="23"/>
      <c r="D876" s="23"/>
      <c r="E876" s="23"/>
      <c r="F876" s="23"/>
    </row>
    <row r="877" spans="1:6" ht="16.5">
      <c r="A877" s="23"/>
      <c r="B877" s="23"/>
      <c r="C877" s="23"/>
      <c r="D877" s="23"/>
      <c r="E877" s="23"/>
      <c r="F877" s="23"/>
    </row>
    <row r="878" spans="1:6" ht="16.5">
      <c r="A878" s="23"/>
      <c r="B878" s="23"/>
      <c r="C878" s="23"/>
      <c r="D878" s="23"/>
      <c r="E878" s="23"/>
      <c r="F878" s="23"/>
    </row>
    <row r="879" spans="1:6" ht="16.5">
      <c r="A879" s="23"/>
      <c r="B879" s="23"/>
      <c r="C879" s="23"/>
      <c r="D879" s="23"/>
      <c r="E879" s="23"/>
      <c r="F879" s="23"/>
    </row>
    <row r="880" spans="1:6" ht="16.5">
      <c r="A880" s="23"/>
      <c r="B880" s="23"/>
      <c r="C880" s="23"/>
      <c r="D880" s="23"/>
      <c r="E880" s="23"/>
      <c r="F880" s="23"/>
    </row>
    <row r="881" spans="1:6" ht="16.5">
      <c r="A881" s="23"/>
      <c r="B881" s="23"/>
      <c r="C881" s="23"/>
      <c r="D881" s="23"/>
      <c r="E881" s="23"/>
      <c r="F881" s="23"/>
    </row>
    <row r="882" spans="1:6" ht="16.5">
      <c r="A882" s="23"/>
      <c r="B882" s="23"/>
      <c r="C882" s="23"/>
      <c r="D882" s="23"/>
      <c r="E882" s="23"/>
      <c r="F882" s="23"/>
    </row>
    <row r="883" spans="1:6" ht="16.5">
      <c r="A883" s="23"/>
      <c r="B883" s="23"/>
      <c r="C883" s="23"/>
      <c r="D883" s="23"/>
      <c r="E883" s="23"/>
      <c r="F883" s="23"/>
    </row>
    <row r="884" spans="1:6" ht="16.5">
      <c r="A884" s="23"/>
      <c r="B884" s="23"/>
      <c r="C884" s="23"/>
      <c r="D884" s="23"/>
      <c r="E884" s="23"/>
      <c r="F884" s="23"/>
    </row>
    <row r="885" spans="1:6" ht="16.5">
      <c r="A885" s="23"/>
      <c r="B885" s="23"/>
      <c r="C885" s="23"/>
      <c r="D885" s="23"/>
      <c r="E885" s="23"/>
      <c r="F885" s="23"/>
    </row>
    <row r="886" spans="1:6" ht="16.5">
      <c r="A886" s="23"/>
      <c r="B886" s="23"/>
      <c r="C886" s="23"/>
      <c r="D886" s="23"/>
      <c r="E886" s="23"/>
      <c r="F886" s="23"/>
    </row>
    <row r="887" spans="1:6" ht="16.5">
      <c r="A887" s="23"/>
      <c r="B887" s="23"/>
      <c r="C887" s="23"/>
      <c r="D887" s="23"/>
      <c r="E887" s="23"/>
      <c r="F887" s="23"/>
    </row>
    <row r="888" spans="1:6" ht="16.5">
      <c r="A888" s="23"/>
      <c r="B888" s="23"/>
      <c r="C888" s="23"/>
      <c r="D888" s="23"/>
      <c r="E888" s="23"/>
      <c r="F888" s="23"/>
    </row>
    <row r="889" spans="1:6" ht="16.5">
      <c r="A889" s="23"/>
      <c r="B889" s="23"/>
      <c r="C889" s="23"/>
      <c r="D889" s="23"/>
      <c r="E889" s="23"/>
      <c r="F889" s="23"/>
    </row>
    <row r="890" spans="1:6" ht="16.5">
      <c r="A890" s="23"/>
      <c r="B890" s="23"/>
      <c r="C890" s="23"/>
      <c r="D890" s="23"/>
      <c r="E890" s="23"/>
      <c r="F890" s="23"/>
    </row>
    <row r="891" spans="1:6" ht="16.5">
      <c r="A891" s="23"/>
      <c r="B891" s="23"/>
      <c r="C891" s="23"/>
      <c r="D891" s="23"/>
      <c r="E891" s="23"/>
      <c r="F891" s="23"/>
    </row>
    <row r="892" spans="1:6" ht="16.5">
      <c r="A892" s="23"/>
      <c r="B892" s="23"/>
      <c r="C892" s="23"/>
      <c r="D892" s="23"/>
      <c r="E892" s="23"/>
      <c r="F892" s="23"/>
    </row>
    <row r="893" spans="1:6" ht="16.5">
      <c r="A893" s="23"/>
      <c r="B893" s="23"/>
      <c r="C893" s="23"/>
      <c r="D893" s="23"/>
      <c r="E893" s="23"/>
      <c r="F893" s="23"/>
    </row>
    <row r="894" spans="1:6" ht="16.5">
      <c r="A894" s="23"/>
      <c r="B894" s="23"/>
      <c r="C894" s="23"/>
      <c r="D894" s="23"/>
      <c r="E894" s="23"/>
      <c r="F894" s="23"/>
    </row>
    <row r="895" spans="1:6" ht="16.5">
      <c r="A895" s="23"/>
      <c r="B895" s="23"/>
      <c r="C895" s="23"/>
      <c r="D895" s="23"/>
      <c r="E895" s="23"/>
      <c r="F895" s="23"/>
    </row>
    <row r="896" spans="1:6" ht="16.5">
      <c r="A896" s="23"/>
      <c r="B896" s="23"/>
      <c r="C896" s="23"/>
      <c r="D896" s="23"/>
      <c r="E896" s="23"/>
      <c r="F896" s="23"/>
    </row>
    <row r="897" spans="1:6" ht="16.5">
      <c r="A897" s="23"/>
      <c r="B897" s="23"/>
      <c r="C897" s="23"/>
      <c r="D897" s="23"/>
      <c r="E897" s="23"/>
      <c r="F897" s="23"/>
    </row>
    <row r="898" spans="1:6" ht="16.5">
      <c r="A898" s="23"/>
      <c r="B898" s="23"/>
      <c r="C898" s="23"/>
      <c r="D898" s="23"/>
      <c r="E898" s="23"/>
      <c r="F898" s="23"/>
    </row>
    <row r="899" spans="1:6" ht="16.5">
      <c r="A899" s="23"/>
      <c r="B899" s="23"/>
      <c r="C899" s="23"/>
      <c r="D899" s="23"/>
      <c r="E899" s="23"/>
      <c r="F899" s="23"/>
    </row>
    <row r="900" spans="1:6" ht="16.5">
      <c r="A900" s="23"/>
      <c r="B900" s="23"/>
      <c r="C900" s="23"/>
      <c r="D900" s="23"/>
      <c r="E900" s="23"/>
      <c r="F900" s="23"/>
    </row>
    <row r="901" spans="1:6" ht="16.5">
      <c r="A901" s="23"/>
      <c r="B901" s="23"/>
      <c r="C901" s="23"/>
      <c r="D901" s="23"/>
      <c r="E901" s="23"/>
      <c r="F901" s="23"/>
    </row>
    <row r="902" spans="1:6" ht="16.5">
      <c r="A902" s="23"/>
      <c r="B902" s="23"/>
      <c r="C902" s="23"/>
      <c r="D902" s="23"/>
      <c r="E902" s="23"/>
      <c r="F902" s="23"/>
    </row>
    <row r="903" spans="1:6" ht="16.5">
      <c r="A903" s="23"/>
      <c r="B903" s="23"/>
      <c r="C903" s="23"/>
      <c r="D903" s="23"/>
      <c r="E903" s="23"/>
      <c r="F903" s="23"/>
    </row>
    <row r="904" spans="1:6" ht="16.5">
      <c r="A904" s="23"/>
      <c r="B904" s="23"/>
      <c r="C904" s="23"/>
      <c r="D904" s="23"/>
      <c r="E904" s="23"/>
      <c r="F904" s="23"/>
    </row>
    <row r="905" spans="1:6" ht="16.5">
      <c r="A905" s="23"/>
      <c r="B905" s="23"/>
      <c r="C905" s="23"/>
      <c r="D905" s="23"/>
      <c r="E905" s="23"/>
      <c r="F905" s="23"/>
    </row>
    <row r="906" spans="1:6" ht="16.5">
      <c r="A906" s="23"/>
      <c r="B906" s="23"/>
      <c r="C906" s="23"/>
      <c r="D906" s="23"/>
      <c r="E906" s="23"/>
      <c r="F906" s="23"/>
    </row>
    <row r="907" spans="1:6" ht="16.5">
      <c r="A907" s="23"/>
      <c r="B907" s="23"/>
      <c r="C907" s="23"/>
      <c r="D907" s="23"/>
      <c r="E907" s="23"/>
      <c r="F907" s="23"/>
    </row>
    <row r="908" spans="1:6" ht="16.5">
      <c r="A908" s="23"/>
      <c r="B908" s="23"/>
      <c r="C908" s="23"/>
      <c r="D908" s="23"/>
      <c r="E908" s="23"/>
      <c r="F908" s="23"/>
    </row>
    <row r="909" spans="1:6" ht="16.5">
      <c r="A909" s="23"/>
      <c r="B909" s="23"/>
      <c r="C909" s="23"/>
      <c r="D909" s="23"/>
      <c r="E909" s="23"/>
      <c r="F909" s="23"/>
    </row>
    <row r="910" spans="1:6" ht="16.5">
      <c r="A910" s="23"/>
      <c r="B910" s="23"/>
      <c r="C910" s="23"/>
      <c r="D910" s="23"/>
      <c r="E910" s="23"/>
      <c r="F910" s="23"/>
    </row>
    <row r="911" spans="1:6" ht="16.5">
      <c r="A911" s="23"/>
      <c r="B911" s="23"/>
      <c r="C911" s="23"/>
      <c r="D911" s="23"/>
      <c r="E911" s="23"/>
      <c r="F911" s="23"/>
    </row>
    <row r="912" spans="1:6" ht="16.5">
      <c r="A912" s="23"/>
      <c r="B912" s="23"/>
      <c r="C912" s="23"/>
      <c r="D912" s="23"/>
      <c r="E912" s="23"/>
      <c r="F912" s="23"/>
    </row>
    <row r="913" spans="1:6" ht="16.5">
      <c r="A913" s="23"/>
      <c r="B913" s="23"/>
      <c r="C913" s="23"/>
      <c r="D913" s="23"/>
      <c r="E913" s="23"/>
      <c r="F913" s="23"/>
    </row>
    <row r="914" spans="1:6" ht="16.5">
      <c r="A914" s="23"/>
      <c r="B914" s="23"/>
      <c r="C914" s="23"/>
      <c r="D914" s="23"/>
      <c r="E914" s="23"/>
      <c r="F914" s="23"/>
    </row>
    <row r="915" spans="1:6" ht="16.5">
      <c r="A915" s="23"/>
      <c r="B915" s="23"/>
      <c r="C915" s="23"/>
      <c r="D915" s="23"/>
      <c r="E915" s="23"/>
      <c r="F915" s="23"/>
    </row>
    <row r="916" spans="1:6" ht="16.5">
      <c r="A916" s="23"/>
      <c r="B916" s="23"/>
      <c r="C916" s="23"/>
      <c r="D916" s="23"/>
      <c r="E916" s="23"/>
      <c r="F916" s="23"/>
    </row>
    <row r="917" spans="1:6" ht="16.5">
      <c r="A917" s="23"/>
      <c r="B917" s="23"/>
      <c r="C917" s="23"/>
      <c r="D917" s="23"/>
      <c r="E917" s="23"/>
      <c r="F917" s="23"/>
    </row>
    <row r="918" spans="1:6" ht="16.5">
      <c r="A918" s="23"/>
      <c r="B918" s="23"/>
      <c r="C918" s="23"/>
      <c r="D918" s="23"/>
      <c r="E918" s="23"/>
      <c r="F918" s="23"/>
    </row>
    <row r="919" spans="1:6" ht="16.5">
      <c r="A919" s="23"/>
      <c r="B919" s="23"/>
      <c r="C919" s="23"/>
      <c r="D919" s="23"/>
      <c r="E919" s="23"/>
      <c r="F919" s="23"/>
    </row>
    <row r="920" spans="1:6" ht="16.5">
      <c r="A920" s="23"/>
      <c r="B920" s="23"/>
      <c r="C920" s="23"/>
      <c r="D920" s="23"/>
      <c r="E920" s="23"/>
      <c r="F920" s="23"/>
    </row>
    <row r="921" spans="1:6" ht="16.5">
      <c r="A921" s="23"/>
      <c r="B921" s="23"/>
      <c r="C921" s="23"/>
      <c r="D921" s="23"/>
      <c r="E921" s="23"/>
      <c r="F921" s="23"/>
    </row>
    <row r="922" spans="1:6" ht="16.5">
      <c r="A922" s="23"/>
      <c r="B922" s="23"/>
      <c r="C922" s="23"/>
      <c r="D922" s="23"/>
      <c r="E922" s="23"/>
      <c r="F922" s="23"/>
    </row>
    <row r="923" spans="1:6" ht="16.5">
      <c r="A923" s="23"/>
      <c r="B923" s="23"/>
      <c r="C923" s="23"/>
      <c r="D923" s="23"/>
      <c r="E923" s="23"/>
      <c r="F923" s="23"/>
    </row>
    <row r="924" spans="1:6" ht="16.5">
      <c r="A924" s="23"/>
      <c r="B924" s="23"/>
      <c r="C924" s="23"/>
      <c r="D924" s="23"/>
      <c r="E924" s="23"/>
      <c r="F924" s="23"/>
    </row>
    <row r="925" spans="1:6" ht="16.5">
      <c r="A925" s="23"/>
      <c r="B925" s="23"/>
      <c r="C925" s="23"/>
      <c r="D925" s="23"/>
      <c r="E925" s="23"/>
      <c r="F925" s="23"/>
    </row>
    <row r="926" spans="1:6" ht="16.5">
      <c r="A926" s="23"/>
      <c r="B926" s="23"/>
      <c r="C926" s="23"/>
      <c r="D926" s="23"/>
      <c r="E926" s="23"/>
      <c r="F926" s="23"/>
    </row>
    <row r="927" spans="1:6" ht="16.5">
      <c r="A927" s="23"/>
      <c r="B927" s="23"/>
      <c r="C927" s="23"/>
      <c r="D927" s="23"/>
      <c r="E927" s="23"/>
      <c r="F927" s="23"/>
    </row>
    <row r="928" spans="1:6" ht="16.5">
      <c r="A928" s="23"/>
      <c r="B928" s="23"/>
      <c r="C928" s="23"/>
      <c r="D928" s="23"/>
      <c r="E928" s="23"/>
      <c r="F928" s="23"/>
    </row>
    <row r="929" spans="1:6" ht="16.5">
      <c r="A929" s="23"/>
      <c r="B929" s="23"/>
      <c r="C929" s="23"/>
      <c r="D929" s="23"/>
      <c r="E929" s="23"/>
      <c r="F929" s="23"/>
    </row>
    <row r="930" spans="1:6" ht="16.5">
      <c r="A930" s="23"/>
      <c r="B930" s="23"/>
      <c r="C930" s="23"/>
      <c r="D930" s="23"/>
      <c r="E930" s="23"/>
      <c r="F930" s="23"/>
    </row>
    <row r="931" spans="1:6" ht="16.5">
      <c r="A931" s="23"/>
      <c r="B931" s="23"/>
      <c r="C931" s="23"/>
      <c r="D931" s="23"/>
      <c r="E931" s="23"/>
      <c r="F931" s="23"/>
    </row>
    <row r="932" spans="1:6" ht="16.5">
      <c r="A932" s="23"/>
      <c r="B932" s="23"/>
      <c r="C932" s="23"/>
      <c r="D932" s="23"/>
      <c r="E932" s="23"/>
      <c r="F932" s="23"/>
    </row>
    <row r="933" spans="1:6" ht="16.5">
      <c r="A933" s="23"/>
      <c r="B933" s="23"/>
      <c r="C933" s="23"/>
      <c r="D933" s="23"/>
      <c r="E933" s="23"/>
      <c r="F933" s="23"/>
    </row>
    <row r="934" spans="1:6" ht="16.5">
      <c r="A934" s="23"/>
      <c r="B934" s="23"/>
      <c r="C934" s="23"/>
      <c r="D934" s="23"/>
      <c r="E934" s="23"/>
      <c r="F934" s="23"/>
    </row>
    <row r="935" spans="1:6" ht="16.5">
      <c r="A935" s="23"/>
      <c r="B935" s="23"/>
      <c r="C935" s="23"/>
      <c r="D935" s="23"/>
      <c r="E935" s="23"/>
      <c r="F935" s="23"/>
    </row>
    <row r="936" spans="1:6" ht="16.5">
      <c r="A936" s="23"/>
      <c r="B936" s="23"/>
      <c r="C936" s="23"/>
      <c r="D936" s="23"/>
      <c r="E936" s="23"/>
      <c r="F936" s="23"/>
    </row>
    <row r="937" spans="1:6" ht="16.5">
      <c r="A937" s="23"/>
      <c r="B937" s="23"/>
      <c r="C937" s="23"/>
      <c r="D937" s="23"/>
      <c r="E937" s="23"/>
      <c r="F937" s="23"/>
    </row>
    <row r="938" spans="1:6" ht="16.5">
      <c r="A938" s="23"/>
      <c r="B938" s="23"/>
      <c r="C938" s="23"/>
      <c r="D938" s="23"/>
      <c r="E938" s="23"/>
      <c r="F938" s="23"/>
    </row>
    <row r="939" spans="1:6" ht="16.5">
      <c r="A939" s="23"/>
      <c r="B939" s="23"/>
      <c r="C939" s="23"/>
      <c r="D939" s="23"/>
      <c r="E939" s="23"/>
      <c r="F939" s="23"/>
    </row>
    <row r="940" spans="1:6" ht="16.5">
      <c r="A940" s="23"/>
      <c r="B940" s="23"/>
      <c r="C940" s="23"/>
      <c r="D940" s="23"/>
      <c r="E940" s="23"/>
      <c r="F940" s="23"/>
    </row>
    <row r="941" spans="1:6" ht="16.5">
      <c r="A941" s="23"/>
      <c r="B941" s="23"/>
      <c r="C941" s="23"/>
      <c r="D941" s="23"/>
      <c r="E941" s="23"/>
      <c r="F941" s="23"/>
    </row>
    <row r="942" spans="1:6" ht="16.5">
      <c r="A942" s="23"/>
      <c r="B942" s="23"/>
      <c r="C942" s="23"/>
      <c r="D942" s="23"/>
      <c r="E942" s="23"/>
      <c r="F942" s="23"/>
    </row>
    <row r="943" spans="1:6" ht="16.5">
      <c r="A943" s="23"/>
      <c r="B943" s="23"/>
      <c r="C943" s="23"/>
      <c r="D943" s="23"/>
      <c r="E943" s="23"/>
      <c r="F943" s="23"/>
    </row>
    <row r="944" spans="1:6" ht="16.5">
      <c r="A944" s="23"/>
      <c r="B944" s="23"/>
      <c r="C944" s="23"/>
      <c r="D944" s="23"/>
      <c r="E944" s="23"/>
      <c r="F944" s="23"/>
    </row>
    <row r="945" spans="1:6" ht="16.5">
      <c r="A945" s="23"/>
      <c r="B945" s="23"/>
      <c r="C945" s="23"/>
      <c r="D945" s="23"/>
      <c r="E945" s="23"/>
      <c r="F945" s="23"/>
    </row>
    <row r="946" spans="1:6" ht="16.5">
      <c r="A946" s="23"/>
      <c r="B946" s="23"/>
      <c r="C946" s="23"/>
      <c r="D946" s="23"/>
      <c r="E946" s="23"/>
      <c r="F946" s="23"/>
    </row>
    <row r="947" spans="1:6" ht="16.5">
      <c r="A947" s="23"/>
      <c r="B947" s="23"/>
      <c r="C947" s="23"/>
      <c r="D947" s="23"/>
      <c r="E947" s="23"/>
      <c r="F947" s="23"/>
    </row>
    <row r="948" spans="1:6" ht="16.5">
      <c r="A948" s="23"/>
      <c r="B948" s="23"/>
      <c r="C948" s="23"/>
      <c r="D948" s="23"/>
      <c r="E948" s="23"/>
      <c r="F948" s="23"/>
    </row>
    <row r="949" spans="1:6" ht="16.5">
      <c r="A949" s="23"/>
      <c r="B949" s="23"/>
      <c r="C949" s="23"/>
      <c r="D949" s="23"/>
      <c r="E949" s="23"/>
      <c r="F949" s="23"/>
    </row>
    <row r="950" spans="1:6" ht="16.5">
      <c r="A950" s="23"/>
      <c r="B950" s="23"/>
      <c r="C950" s="23"/>
      <c r="D950" s="23"/>
      <c r="E950" s="23"/>
      <c r="F950" s="23"/>
    </row>
    <row r="951" spans="1:6" ht="16.5">
      <c r="A951" s="23"/>
      <c r="B951" s="23"/>
      <c r="C951" s="23"/>
      <c r="D951" s="23"/>
      <c r="E951" s="23"/>
      <c r="F951" s="23"/>
    </row>
    <row r="952" spans="1:6" ht="16.5">
      <c r="A952" s="23"/>
      <c r="B952" s="23"/>
      <c r="C952" s="23"/>
      <c r="D952" s="23"/>
      <c r="E952" s="23"/>
      <c r="F952" s="23"/>
    </row>
    <row r="953" spans="1:6" ht="16.5">
      <c r="A953" s="23"/>
      <c r="B953" s="23"/>
      <c r="C953" s="23"/>
      <c r="D953" s="23"/>
      <c r="E953" s="23"/>
      <c r="F953" s="23"/>
    </row>
    <row r="954" spans="1:6" ht="16.5">
      <c r="A954" s="23"/>
      <c r="B954" s="23"/>
      <c r="C954" s="23"/>
      <c r="D954" s="23"/>
      <c r="E954" s="23"/>
      <c r="F954" s="23"/>
    </row>
    <row r="955" spans="1:6" ht="16.5">
      <c r="A955" s="23"/>
      <c r="B955" s="23"/>
      <c r="C955" s="23"/>
      <c r="D955" s="23"/>
      <c r="E955" s="23"/>
      <c r="F955" s="23"/>
    </row>
    <row r="956" spans="1:6" ht="16.5">
      <c r="A956" s="23"/>
      <c r="B956" s="23"/>
      <c r="C956" s="23"/>
      <c r="D956" s="23"/>
      <c r="E956" s="23"/>
      <c r="F956" s="23"/>
    </row>
    <row r="957" spans="1:6" ht="16.5">
      <c r="A957" s="23"/>
      <c r="B957" s="23"/>
      <c r="C957" s="23"/>
      <c r="D957" s="23"/>
      <c r="E957" s="23"/>
      <c r="F957" s="23"/>
    </row>
    <row r="958" spans="1:6" ht="16.5">
      <c r="A958" s="23"/>
      <c r="B958" s="23"/>
      <c r="C958" s="23"/>
      <c r="D958" s="23"/>
      <c r="E958" s="23"/>
      <c r="F958" s="23"/>
    </row>
    <row r="959" spans="1:6" ht="16.5">
      <c r="A959" s="23"/>
      <c r="B959" s="23"/>
      <c r="C959" s="23"/>
      <c r="D959" s="23"/>
      <c r="E959" s="23"/>
      <c r="F959" s="23"/>
    </row>
    <row r="960" spans="1:6" ht="16.5">
      <c r="A960" s="23"/>
      <c r="B960" s="23"/>
      <c r="C960" s="23"/>
      <c r="D960" s="23"/>
      <c r="E960" s="23"/>
      <c r="F960" s="23"/>
    </row>
    <row r="961" spans="1:6" ht="16.5">
      <c r="A961" s="23"/>
      <c r="B961" s="23"/>
      <c r="C961" s="23"/>
      <c r="D961" s="23"/>
      <c r="E961" s="23"/>
      <c r="F961" s="23"/>
    </row>
    <row r="962" spans="1:6" ht="16.5">
      <c r="A962" s="23"/>
      <c r="B962" s="23"/>
      <c r="C962" s="23"/>
      <c r="D962" s="23"/>
      <c r="E962" s="23"/>
      <c r="F962" s="23"/>
    </row>
    <row r="963" spans="1:6" ht="16.5">
      <c r="A963" s="23"/>
      <c r="B963" s="23"/>
      <c r="C963" s="23"/>
      <c r="D963" s="23"/>
      <c r="E963" s="23"/>
      <c r="F963" s="23"/>
    </row>
    <row r="964" spans="1:6" ht="16.5">
      <c r="A964" s="23"/>
      <c r="B964" s="23"/>
      <c r="C964" s="23"/>
      <c r="D964" s="23"/>
      <c r="E964" s="23"/>
      <c r="F964" s="23"/>
    </row>
    <row r="965" spans="1:6" ht="16.5">
      <c r="A965" s="23"/>
      <c r="B965" s="23"/>
      <c r="C965" s="23"/>
      <c r="D965" s="23"/>
      <c r="E965" s="23"/>
      <c r="F965" s="23"/>
    </row>
    <row r="966" spans="1:6" ht="16.5">
      <c r="A966" s="23"/>
      <c r="B966" s="23"/>
      <c r="C966" s="23"/>
      <c r="D966" s="23"/>
      <c r="E966" s="23"/>
      <c r="F966" s="23"/>
    </row>
    <row r="967" spans="1:6" ht="16.5">
      <c r="A967" s="23"/>
      <c r="B967" s="23"/>
      <c r="C967" s="23"/>
      <c r="D967" s="23"/>
      <c r="E967" s="23"/>
      <c r="F967" s="23"/>
    </row>
    <row r="968" spans="1:6" ht="16.5">
      <c r="A968" s="23"/>
      <c r="B968" s="23"/>
      <c r="C968" s="23"/>
      <c r="D968" s="23"/>
      <c r="E968" s="23"/>
      <c r="F968" s="23"/>
    </row>
    <row r="969" spans="1:6" ht="16.5">
      <c r="A969" s="23"/>
      <c r="B969" s="23"/>
      <c r="C969" s="23"/>
      <c r="D969" s="23"/>
      <c r="E969" s="23"/>
      <c r="F969" s="23"/>
    </row>
    <row r="970" spans="1:6" ht="16.5">
      <c r="A970" s="23"/>
      <c r="B970" s="23"/>
      <c r="C970" s="23"/>
      <c r="D970" s="23"/>
      <c r="E970" s="23"/>
      <c r="F970" s="23"/>
    </row>
    <row r="971" spans="1:6" ht="16.5">
      <c r="A971" s="23"/>
      <c r="B971" s="23"/>
      <c r="C971" s="23"/>
      <c r="D971" s="23"/>
      <c r="E971" s="23"/>
      <c r="F971" s="23"/>
    </row>
    <row r="972" spans="1:6" ht="16.5">
      <c r="A972" s="23"/>
      <c r="B972" s="23"/>
      <c r="C972" s="23"/>
      <c r="D972" s="23"/>
      <c r="E972" s="23"/>
      <c r="F972" s="23"/>
    </row>
    <row r="973" spans="1:6" ht="16.5">
      <c r="A973" s="23"/>
      <c r="B973" s="23"/>
      <c r="C973" s="23"/>
      <c r="D973" s="23"/>
      <c r="E973" s="23"/>
      <c r="F973" s="23"/>
    </row>
    <row r="974" spans="1:6" ht="16.5">
      <c r="A974" s="23"/>
      <c r="B974" s="23"/>
      <c r="C974" s="23"/>
      <c r="D974" s="23"/>
      <c r="E974" s="23"/>
      <c r="F974" s="23"/>
    </row>
    <row r="975" spans="1:6" ht="16.5">
      <c r="A975" s="23"/>
      <c r="B975" s="23"/>
      <c r="C975" s="23"/>
      <c r="D975" s="23"/>
      <c r="E975" s="23"/>
      <c r="F975" s="23"/>
    </row>
    <row r="976" spans="1:6" ht="16.5">
      <c r="A976" s="23"/>
      <c r="B976" s="23"/>
      <c r="C976" s="23"/>
      <c r="D976" s="23"/>
      <c r="E976" s="23"/>
      <c r="F976" s="23"/>
    </row>
    <row r="977" spans="1:6" ht="16.5">
      <c r="A977" s="23"/>
      <c r="B977" s="23"/>
      <c r="C977" s="23"/>
      <c r="D977" s="23"/>
      <c r="E977" s="23"/>
      <c r="F977" s="23"/>
    </row>
    <row r="978" spans="1:6" ht="16.5">
      <c r="A978" s="23"/>
      <c r="B978" s="23"/>
      <c r="C978" s="23"/>
      <c r="D978" s="23"/>
      <c r="E978" s="23"/>
      <c r="F978" s="23"/>
    </row>
    <row r="979" spans="1:6" ht="16.5">
      <c r="A979" s="23"/>
      <c r="B979" s="23"/>
      <c r="C979" s="23"/>
      <c r="D979" s="23"/>
      <c r="E979" s="23"/>
      <c r="F979" s="23"/>
    </row>
    <row r="980" spans="1:6" ht="16.5">
      <c r="A980" s="23"/>
      <c r="B980" s="23"/>
      <c r="C980" s="23"/>
      <c r="D980" s="23"/>
      <c r="E980" s="23"/>
      <c r="F980" s="23"/>
    </row>
    <row r="981" spans="1:6" ht="16.5">
      <c r="A981" s="23"/>
      <c r="B981" s="23"/>
      <c r="C981" s="23"/>
      <c r="D981" s="23"/>
      <c r="E981" s="23"/>
      <c r="F981" s="23"/>
    </row>
    <row r="982" spans="1:6" ht="16.5">
      <c r="A982" s="23"/>
      <c r="B982" s="23"/>
      <c r="C982" s="23"/>
      <c r="D982" s="23"/>
      <c r="E982" s="23"/>
      <c r="F982" s="23"/>
    </row>
    <row r="983" spans="1:6" ht="16.5">
      <c r="A983" s="23"/>
      <c r="B983" s="23"/>
      <c r="C983" s="23"/>
      <c r="D983" s="23"/>
      <c r="E983" s="23"/>
      <c r="F983" s="23"/>
    </row>
    <row r="984" spans="1:6" ht="16.5">
      <c r="A984" s="23"/>
      <c r="B984" s="23"/>
      <c r="C984" s="23"/>
      <c r="D984" s="23"/>
      <c r="E984" s="23"/>
      <c r="F984" s="23"/>
    </row>
    <row r="985" spans="1:6" ht="16.5">
      <c r="A985" s="23"/>
      <c r="B985" s="23"/>
      <c r="C985" s="23"/>
      <c r="D985" s="23"/>
      <c r="E985" s="23"/>
      <c r="F985" s="23"/>
    </row>
    <row r="986" spans="1:6" ht="16.5">
      <c r="A986" s="23"/>
      <c r="B986" s="23"/>
      <c r="C986" s="23"/>
      <c r="D986" s="23"/>
      <c r="E986" s="23"/>
      <c r="F986" s="23"/>
    </row>
    <row r="987" spans="1:6" ht="16.5">
      <c r="A987" s="23"/>
      <c r="B987" s="23"/>
      <c r="C987" s="23"/>
      <c r="D987" s="23"/>
      <c r="E987" s="23"/>
      <c r="F987" s="23"/>
    </row>
    <row r="988" spans="1:6" ht="16.5">
      <c r="A988" s="23"/>
      <c r="B988" s="23"/>
      <c r="C988" s="23"/>
      <c r="D988" s="23"/>
      <c r="E988" s="23"/>
      <c r="F988" s="23"/>
    </row>
    <row r="989" spans="1:6" ht="16.5">
      <c r="A989" s="23"/>
      <c r="B989" s="23"/>
      <c r="C989" s="23"/>
      <c r="D989" s="23"/>
      <c r="E989" s="23"/>
      <c r="F989" s="23"/>
    </row>
    <row r="990" spans="1:6" ht="16.5">
      <c r="A990" s="23"/>
      <c r="B990" s="23"/>
      <c r="C990" s="23"/>
      <c r="D990" s="23"/>
      <c r="E990" s="23"/>
      <c r="F990" s="23"/>
    </row>
    <row r="991" spans="1:6" ht="16.5">
      <c r="A991" s="23"/>
      <c r="B991" s="23"/>
      <c r="C991" s="23"/>
      <c r="D991" s="23"/>
      <c r="E991" s="23"/>
      <c r="F991" s="23"/>
    </row>
    <row r="992" spans="1:6" ht="16.5">
      <c r="A992" s="23"/>
      <c r="B992" s="23"/>
      <c r="C992" s="23"/>
      <c r="D992" s="23"/>
      <c r="E992" s="23"/>
      <c r="F992" s="23"/>
    </row>
    <row r="993" spans="1:6" ht="16.5">
      <c r="A993" s="23"/>
      <c r="B993" s="23"/>
      <c r="C993" s="23"/>
      <c r="D993" s="23"/>
      <c r="E993" s="23"/>
      <c r="F993" s="23"/>
    </row>
    <row r="994" spans="1:6" ht="16.5">
      <c r="A994" s="23"/>
      <c r="B994" s="23"/>
      <c r="C994" s="23"/>
      <c r="D994" s="23"/>
      <c r="E994" s="23"/>
      <c r="F994" s="23"/>
    </row>
    <row r="995" spans="1:6" ht="16.5">
      <c r="A995" s="23"/>
      <c r="B995" s="23"/>
      <c r="C995" s="23"/>
      <c r="D995" s="23"/>
      <c r="E995" s="23"/>
      <c r="F995" s="23"/>
    </row>
    <row r="996" spans="1:6" ht="16.5">
      <c r="A996" s="23"/>
      <c r="B996" s="23"/>
      <c r="C996" s="23"/>
      <c r="D996" s="23"/>
      <c r="E996" s="23"/>
      <c r="F996" s="23"/>
    </row>
    <row r="997" spans="1:6" ht="16.5">
      <c r="A997" s="23"/>
      <c r="B997" s="23"/>
      <c r="C997" s="23"/>
      <c r="D997" s="23"/>
      <c r="E997" s="23"/>
      <c r="F997" s="23"/>
    </row>
    <row r="998" spans="1:6" ht="16.5">
      <c r="A998" s="23"/>
      <c r="B998" s="23"/>
      <c r="C998" s="23"/>
      <c r="D998" s="23"/>
      <c r="E998" s="23"/>
      <c r="F998" s="23"/>
    </row>
    <row r="999" spans="1:6" ht="16.5">
      <c r="A999" s="23"/>
      <c r="B999" s="23"/>
      <c r="C999" s="23"/>
      <c r="D999" s="23"/>
      <c r="E999" s="23"/>
      <c r="F999" s="23"/>
    </row>
    <row r="1000" spans="1:6" ht="16.5">
      <c r="A1000" s="23"/>
      <c r="B1000" s="23"/>
      <c r="C1000" s="23"/>
      <c r="D1000" s="23"/>
      <c r="E1000" s="23"/>
      <c r="F1000" s="23"/>
    </row>
    <row r="1001" spans="1:6" ht="16.5">
      <c r="A1001" s="23"/>
      <c r="B1001" s="23"/>
      <c r="C1001" s="23"/>
      <c r="D1001" s="23"/>
      <c r="E1001" s="23"/>
      <c r="F1001" s="23"/>
    </row>
    <row r="1002" spans="1:6" ht="16.5">
      <c r="A1002" s="23"/>
      <c r="B1002" s="23"/>
      <c r="C1002" s="23"/>
      <c r="D1002" s="23"/>
      <c r="E1002" s="23"/>
      <c r="F1002" s="23"/>
    </row>
    <row r="1003" spans="1:6" ht="16.5">
      <c r="A1003" s="23"/>
      <c r="B1003" s="23"/>
      <c r="C1003" s="23"/>
      <c r="D1003" s="23"/>
      <c r="E1003" s="23"/>
      <c r="F1003" s="23"/>
    </row>
    <row r="1004" spans="1:6" ht="16.5">
      <c r="A1004" s="23"/>
      <c r="B1004" s="23"/>
      <c r="C1004" s="23"/>
      <c r="D1004" s="23"/>
      <c r="E1004" s="23"/>
      <c r="F1004" s="23"/>
    </row>
    <row r="1005" spans="1:6" ht="16.5">
      <c r="A1005" s="23"/>
      <c r="B1005" s="23"/>
      <c r="C1005" s="23"/>
      <c r="D1005" s="23"/>
      <c r="E1005" s="23"/>
      <c r="F1005" s="23"/>
    </row>
    <row r="1006" spans="1:6" ht="16.5">
      <c r="A1006" s="23"/>
      <c r="B1006" s="23"/>
      <c r="C1006" s="23"/>
      <c r="D1006" s="23"/>
      <c r="E1006" s="23"/>
      <c r="F1006" s="23"/>
    </row>
    <row r="1007" spans="1:6" ht="16.5">
      <c r="A1007" s="23"/>
      <c r="B1007" s="23"/>
      <c r="C1007" s="23"/>
      <c r="D1007" s="23"/>
      <c r="E1007" s="23"/>
      <c r="F1007" s="23"/>
    </row>
    <row r="1008" spans="1:6" ht="16.5">
      <c r="A1008" s="23"/>
      <c r="B1008" s="23"/>
      <c r="C1008" s="23"/>
      <c r="D1008" s="23"/>
      <c r="E1008" s="23"/>
      <c r="F1008" s="23"/>
    </row>
    <row r="1009" spans="1:6" ht="16.5">
      <c r="A1009" s="23"/>
      <c r="B1009" s="23"/>
      <c r="C1009" s="23"/>
      <c r="D1009" s="23"/>
      <c r="E1009" s="23"/>
      <c r="F1009" s="23"/>
    </row>
    <row r="1010" spans="1:6" ht="16.5">
      <c r="A1010" s="23"/>
      <c r="B1010" s="23"/>
      <c r="C1010" s="23"/>
      <c r="D1010" s="23"/>
      <c r="E1010" s="23"/>
      <c r="F1010" s="23"/>
    </row>
    <row r="1011" spans="1:6" ht="16.5">
      <c r="A1011" s="23"/>
      <c r="B1011" s="23"/>
      <c r="C1011" s="23"/>
      <c r="D1011" s="23"/>
      <c r="E1011" s="23"/>
      <c r="F1011" s="23"/>
    </row>
    <row r="1012" spans="1:6" ht="16.5">
      <c r="A1012" s="23"/>
      <c r="B1012" s="23"/>
      <c r="C1012" s="23"/>
      <c r="D1012" s="23"/>
      <c r="E1012" s="23"/>
      <c r="F1012" s="23"/>
    </row>
    <row r="1013" spans="1:6" ht="16.5">
      <c r="A1013" s="23"/>
      <c r="B1013" s="23"/>
      <c r="C1013" s="23"/>
      <c r="D1013" s="23"/>
      <c r="E1013" s="23"/>
      <c r="F1013" s="23"/>
    </row>
    <row r="1014" spans="1:6" ht="16.5">
      <c r="A1014" s="23"/>
      <c r="B1014" s="23"/>
      <c r="C1014" s="23"/>
      <c r="D1014" s="23"/>
      <c r="E1014" s="23"/>
      <c r="F1014" s="23"/>
    </row>
    <row r="1015" spans="1:6" ht="16.5">
      <c r="A1015" s="23"/>
      <c r="B1015" s="23"/>
      <c r="C1015" s="23"/>
      <c r="D1015" s="23"/>
      <c r="E1015" s="23"/>
      <c r="F1015" s="23"/>
    </row>
    <row r="1016" spans="1:6" ht="16.5">
      <c r="A1016" s="23"/>
      <c r="B1016" s="23"/>
      <c r="C1016" s="23"/>
      <c r="D1016" s="23"/>
      <c r="E1016" s="23"/>
      <c r="F1016" s="23"/>
    </row>
    <row r="1017" spans="1:6" ht="16.5">
      <c r="A1017" s="23"/>
      <c r="B1017" s="23"/>
      <c r="C1017" s="23"/>
      <c r="D1017" s="23"/>
      <c r="E1017" s="23"/>
      <c r="F1017" s="23"/>
    </row>
    <row r="1018" spans="1:6" ht="16.5">
      <c r="A1018" s="23"/>
      <c r="B1018" s="23"/>
      <c r="C1018" s="23"/>
      <c r="D1018" s="23"/>
      <c r="E1018" s="23"/>
      <c r="F1018" s="23"/>
    </row>
    <row r="1019" spans="1:6" ht="16.5">
      <c r="A1019" s="23"/>
      <c r="B1019" s="23"/>
      <c r="C1019" s="23"/>
      <c r="D1019" s="23"/>
      <c r="E1019" s="23"/>
      <c r="F1019" s="23"/>
    </row>
    <row r="1020" spans="1:6" ht="16.5">
      <c r="A1020" s="23"/>
      <c r="B1020" s="23"/>
      <c r="C1020" s="23"/>
      <c r="D1020" s="23"/>
      <c r="E1020" s="23"/>
      <c r="F1020" s="23"/>
    </row>
    <row r="1021" spans="1:6" ht="16.5">
      <c r="A1021" s="23"/>
      <c r="B1021" s="23"/>
      <c r="C1021" s="23"/>
      <c r="D1021" s="23"/>
      <c r="E1021" s="23"/>
      <c r="F1021" s="23"/>
    </row>
    <row r="1022" spans="1:6" ht="16.5">
      <c r="A1022" s="23"/>
      <c r="B1022" s="23"/>
      <c r="C1022" s="23"/>
      <c r="D1022" s="23"/>
      <c r="E1022" s="23"/>
      <c r="F1022" s="23"/>
    </row>
    <row r="1023" spans="1:6" ht="16.5">
      <c r="A1023" s="23"/>
      <c r="B1023" s="23"/>
      <c r="C1023" s="23"/>
      <c r="D1023" s="23"/>
      <c r="E1023" s="23"/>
      <c r="F1023" s="23"/>
    </row>
    <row r="1024" spans="1:6" ht="16.5">
      <c r="A1024" s="23"/>
      <c r="B1024" s="23"/>
      <c r="C1024" s="23"/>
      <c r="D1024" s="23"/>
      <c r="E1024" s="23"/>
      <c r="F1024" s="23"/>
    </row>
    <row r="1025" spans="1:6" ht="16.5">
      <c r="A1025" s="23"/>
      <c r="B1025" s="23"/>
      <c r="C1025" s="23"/>
      <c r="D1025" s="23"/>
      <c r="E1025" s="23"/>
      <c r="F1025" s="23"/>
    </row>
    <row r="1026" spans="1:6" ht="16.5">
      <c r="A1026" s="23"/>
      <c r="B1026" s="23"/>
      <c r="C1026" s="23"/>
      <c r="D1026" s="23"/>
      <c r="E1026" s="23"/>
      <c r="F1026" s="23"/>
    </row>
    <row r="1027" spans="1:6" ht="16.5">
      <c r="A1027" s="23"/>
      <c r="B1027" s="23"/>
      <c r="C1027" s="23"/>
      <c r="D1027" s="23"/>
      <c r="E1027" s="23"/>
      <c r="F1027" s="23"/>
    </row>
    <row r="1028" spans="1:6" ht="16.5">
      <c r="A1028" s="23"/>
      <c r="B1028" s="23"/>
      <c r="C1028" s="23"/>
      <c r="D1028" s="23"/>
      <c r="E1028" s="23"/>
      <c r="F1028" s="23"/>
    </row>
    <row r="1029" spans="1:6" ht="16.5">
      <c r="A1029" s="23"/>
      <c r="B1029" s="23"/>
      <c r="C1029" s="23"/>
      <c r="D1029" s="23"/>
      <c r="E1029" s="23"/>
      <c r="F1029" s="23"/>
    </row>
    <row r="1030" spans="1:6" ht="16.5">
      <c r="A1030" s="23"/>
      <c r="B1030" s="23"/>
      <c r="C1030" s="23"/>
      <c r="D1030" s="23"/>
      <c r="E1030" s="23"/>
      <c r="F1030" s="23"/>
    </row>
    <row r="1031" spans="1:6" ht="16.5">
      <c r="A1031" s="23"/>
      <c r="B1031" s="23"/>
      <c r="C1031" s="23"/>
      <c r="D1031" s="23"/>
      <c r="E1031" s="23"/>
      <c r="F1031" s="23"/>
    </row>
    <row r="1032" spans="1:6" ht="16.5">
      <c r="A1032" s="23"/>
      <c r="B1032" s="23"/>
      <c r="C1032" s="23"/>
      <c r="D1032" s="23"/>
      <c r="E1032" s="23"/>
      <c r="F1032" s="23"/>
    </row>
    <row r="1033" spans="1:6" ht="16.5">
      <c r="A1033" s="23"/>
      <c r="B1033" s="23"/>
      <c r="C1033" s="23"/>
      <c r="D1033" s="23"/>
      <c r="E1033" s="23"/>
      <c r="F1033" s="23"/>
    </row>
    <row r="1034" spans="1:6" ht="16.5">
      <c r="A1034" s="23"/>
      <c r="B1034" s="23"/>
      <c r="C1034" s="23"/>
      <c r="D1034" s="23"/>
      <c r="E1034" s="23"/>
      <c r="F1034" s="23"/>
    </row>
    <row r="1035" spans="1:6" ht="16.5">
      <c r="A1035" s="23"/>
      <c r="B1035" s="23"/>
      <c r="C1035" s="23"/>
      <c r="D1035" s="23"/>
      <c r="E1035" s="23"/>
      <c r="F1035" s="23"/>
    </row>
    <row r="1036" spans="1:6" ht="16.5">
      <c r="A1036" s="23"/>
      <c r="B1036" s="23"/>
      <c r="C1036" s="23"/>
      <c r="D1036" s="23"/>
      <c r="E1036" s="23"/>
      <c r="F1036" s="23"/>
    </row>
    <row r="1037" spans="1:6" ht="16.5">
      <c r="A1037" s="23"/>
      <c r="B1037" s="23"/>
      <c r="C1037" s="23"/>
      <c r="D1037" s="23"/>
      <c r="E1037" s="23"/>
      <c r="F1037" s="23"/>
    </row>
    <row r="1038" spans="1:6" ht="16.5">
      <c r="A1038" s="23"/>
      <c r="B1038" s="23"/>
      <c r="C1038" s="23"/>
      <c r="D1038" s="23"/>
      <c r="E1038" s="23"/>
      <c r="F1038" s="23"/>
    </row>
    <row r="1039" spans="1:6" ht="16.5">
      <c r="A1039" s="23"/>
      <c r="B1039" s="23"/>
      <c r="C1039" s="23"/>
      <c r="D1039" s="23"/>
      <c r="E1039" s="23"/>
      <c r="F1039" s="23"/>
    </row>
    <row r="1040" spans="1:6" ht="16.5">
      <c r="A1040" s="23"/>
      <c r="B1040" s="23"/>
      <c r="C1040" s="23"/>
      <c r="D1040" s="23"/>
      <c r="E1040" s="23"/>
      <c r="F1040" s="23"/>
    </row>
    <row r="1041" spans="1:6" ht="16.5">
      <c r="A1041" s="23"/>
      <c r="B1041" s="23"/>
      <c r="C1041" s="23"/>
      <c r="D1041" s="23"/>
      <c r="E1041" s="23"/>
      <c r="F1041" s="23"/>
    </row>
    <row r="1042" spans="1:6" ht="16.5">
      <c r="A1042" s="23"/>
      <c r="B1042" s="23"/>
      <c r="C1042" s="23"/>
      <c r="D1042" s="23"/>
      <c r="E1042" s="23"/>
      <c r="F1042" s="23"/>
    </row>
    <row r="1043" spans="1:6" ht="16.5">
      <c r="A1043" s="23"/>
      <c r="B1043" s="23"/>
      <c r="C1043" s="23"/>
      <c r="D1043" s="23"/>
      <c r="E1043" s="23"/>
      <c r="F1043" s="23"/>
    </row>
    <row r="1044" spans="1:6" ht="16.5">
      <c r="A1044" s="23"/>
      <c r="B1044" s="23"/>
      <c r="C1044" s="23"/>
      <c r="D1044" s="23"/>
      <c r="E1044" s="23"/>
      <c r="F1044" s="23"/>
    </row>
    <row r="1045" spans="1:6" ht="16.5">
      <c r="A1045" s="23"/>
      <c r="B1045" s="23"/>
      <c r="C1045" s="23"/>
      <c r="D1045" s="23"/>
      <c r="E1045" s="23"/>
      <c r="F1045" s="23"/>
    </row>
    <row r="1046" spans="1:6" ht="16.5">
      <c r="A1046" s="23"/>
      <c r="B1046" s="23"/>
      <c r="C1046" s="23"/>
      <c r="D1046" s="23"/>
      <c r="E1046" s="23"/>
      <c r="F1046" s="23"/>
    </row>
    <row r="1047" spans="1:6" ht="16.5">
      <c r="A1047" s="23"/>
      <c r="B1047" s="23"/>
      <c r="C1047" s="23"/>
      <c r="D1047" s="23"/>
      <c r="E1047" s="23"/>
      <c r="F1047" s="23"/>
    </row>
    <row r="1048" spans="1:6" ht="16.5">
      <c r="A1048" s="23"/>
      <c r="B1048" s="23"/>
      <c r="C1048" s="23"/>
      <c r="D1048" s="23"/>
      <c r="E1048" s="23"/>
      <c r="F1048" s="23"/>
    </row>
    <row r="1049" spans="1:6" ht="16.5">
      <c r="A1049" s="23"/>
      <c r="B1049" s="23"/>
      <c r="C1049" s="23"/>
      <c r="D1049" s="23"/>
      <c r="E1049" s="23"/>
      <c r="F1049" s="23"/>
    </row>
    <row r="1050" spans="1:6" ht="16.5">
      <c r="A1050" s="23"/>
      <c r="B1050" s="23"/>
      <c r="C1050" s="23"/>
      <c r="D1050" s="23"/>
      <c r="E1050" s="23"/>
      <c r="F1050" s="23"/>
    </row>
    <row r="1051" spans="1:6" ht="16.5">
      <c r="A1051" s="23"/>
      <c r="B1051" s="23"/>
      <c r="C1051" s="23"/>
      <c r="D1051" s="23"/>
      <c r="E1051" s="23"/>
      <c r="F1051" s="23"/>
    </row>
    <row r="1052" spans="1:6" ht="16.5">
      <c r="A1052" s="23"/>
      <c r="B1052" s="23"/>
      <c r="C1052" s="23"/>
      <c r="D1052" s="23"/>
      <c r="E1052" s="23"/>
      <c r="F1052" s="23"/>
    </row>
    <row r="1053" spans="1:6" ht="16.5">
      <c r="A1053" s="23"/>
      <c r="B1053" s="23"/>
      <c r="C1053" s="23"/>
      <c r="D1053" s="23"/>
      <c r="E1053" s="23"/>
      <c r="F1053" s="23"/>
    </row>
    <row r="1054" spans="1:6" ht="16.5">
      <c r="A1054" s="23"/>
      <c r="B1054" s="23"/>
      <c r="C1054" s="23"/>
      <c r="D1054" s="23"/>
      <c r="E1054" s="23"/>
      <c r="F1054" s="23"/>
    </row>
    <row r="1055" spans="1:6" ht="16.5">
      <c r="A1055" s="23"/>
      <c r="B1055" s="23"/>
      <c r="C1055" s="23"/>
      <c r="D1055" s="23"/>
      <c r="E1055" s="23"/>
      <c r="F1055" s="23"/>
    </row>
    <row r="1056" spans="1:6" ht="16.5">
      <c r="A1056" s="23"/>
      <c r="B1056" s="23"/>
      <c r="C1056" s="23"/>
      <c r="D1056" s="23"/>
      <c r="E1056" s="23"/>
      <c r="F1056" s="23"/>
    </row>
    <row r="1057" spans="1:6" ht="16.5">
      <c r="A1057" s="23"/>
      <c r="B1057" s="23"/>
      <c r="C1057" s="23"/>
      <c r="D1057" s="23"/>
      <c r="E1057" s="23"/>
      <c r="F1057" s="23"/>
    </row>
    <row r="1058" spans="1:6" ht="16.5">
      <c r="A1058" s="23"/>
      <c r="B1058" s="23"/>
      <c r="C1058" s="23"/>
      <c r="D1058" s="23"/>
      <c r="E1058" s="23"/>
      <c r="F1058" s="23"/>
    </row>
    <row r="1059" spans="1:6" ht="16.5">
      <c r="A1059" s="23"/>
      <c r="B1059" s="23"/>
      <c r="C1059" s="23"/>
      <c r="D1059" s="23"/>
      <c r="E1059" s="23"/>
      <c r="F1059" s="23"/>
    </row>
    <row r="1060" spans="1:6" ht="16.5">
      <c r="A1060" s="23"/>
      <c r="B1060" s="23"/>
      <c r="C1060" s="23"/>
      <c r="D1060" s="23"/>
      <c r="E1060" s="23"/>
      <c r="F1060" s="23"/>
    </row>
    <row r="1061" spans="1:6" ht="16.5">
      <c r="A1061" s="23"/>
      <c r="B1061" s="23"/>
      <c r="C1061" s="23"/>
      <c r="D1061" s="23"/>
      <c r="E1061" s="23"/>
      <c r="F1061" s="23"/>
    </row>
    <row r="1062" spans="1:6" ht="16.5">
      <c r="A1062" s="23"/>
      <c r="B1062" s="23"/>
      <c r="C1062" s="23"/>
      <c r="D1062" s="23"/>
      <c r="E1062" s="23"/>
      <c r="F1062" s="23"/>
    </row>
    <row r="1063" spans="1:6" ht="16.5">
      <c r="A1063" s="23"/>
      <c r="B1063" s="23"/>
      <c r="C1063" s="23"/>
      <c r="D1063" s="23"/>
      <c r="E1063" s="23"/>
      <c r="F1063" s="23"/>
    </row>
    <row r="1064" spans="1:6" ht="16.5">
      <c r="A1064" s="23"/>
      <c r="B1064" s="23"/>
      <c r="C1064" s="23"/>
      <c r="D1064" s="23"/>
      <c r="E1064" s="23"/>
      <c r="F1064" s="23"/>
    </row>
    <row r="1065" spans="1:6" ht="16.5">
      <c r="A1065" s="23"/>
      <c r="B1065" s="23"/>
      <c r="C1065" s="23"/>
      <c r="D1065" s="23"/>
      <c r="E1065" s="23"/>
      <c r="F1065" s="23"/>
    </row>
    <row r="1066" spans="1:6" ht="16.5">
      <c r="A1066" s="23"/>
      <c r="B1066" s="23"/>
      <c r="C1066" s="23"/>
      <c r="D1066" s="23"/>
      <c r="E1066" s="23"/>
      <c r="F1066" s="23"/>
    </row>
    <row r="1067" spans="1:6" ht="16.5">
      <c r="A1067" s="23"/>
      <c r="B1067" s="23"/>
      <c r="C1067" s="23"/>
      <c r="D1067" s="23"/>
      <c r="E1067" s="23"/>
      <c r="F1067" s="23"/>
    </row>
    <row r="1068" spans="1:6" ht="16.5">
      <c r="A1068" s="23"/>
      <c r="B1068" s="23"/>
      <c r="C1068" s="23"/>
      <c r="D1068" s="23"/>
      <c r="E1068" s="23"/>
      <c r="F1068" s="23"/>
    </row>
    <row r="1069" spans="1:6" ht="16.5">
      <c r="A1069" s="23"/>
      <c r="B1069" s="23"/>
      <c r="C1069" s="23"/>
      <c r="D1069" s="23"/>
      <c r="E1069" s="23"/>
      <c r="F1069" s="23"/>
    </row>
    <row r="1070" spans="1:6" ht="16.5">
      <c r="A1070" s="23"/>
      <c r="B1070" s="23"/>
      <c r="C1070" s="23"/>
      <c r="D1070" s="23"/>
      <c r="E1070" s="23"/>
      <c r="F1070" s="23"/>
    </row>
    <row r="1071" spans="1:6" ht="16.5">
      <c r="A1071" s="23"/>
      <c r="B1071" s="23"/>
      <c r="C1071" s="23"/>
      <c r="D1071" s="23"/>
      <c r="E1071" s="23"/>
      <c r="F1071" s="23"/>
    </row>
    <row r="1072" spans="1:6" ht="16.5">
      <c r="A1072" s="23"/>
      <c r="B1072" s="23"/>
      <c r="C1072" s="23"/>
      <c r="D1072" s="23"/>
      <c r="E1072" s="23"/>
      <c r="F1072" s="23"/>
    </row>
    <row r="1073" spans="1:6" ht="16.5">
      <c r="A1073" s="23"/>
      <c r="B1073" s="23"/>
      <c r="C1073" s="23"/>
      <c r="D1073" s="23"/>
      <c r="E1073" s="23"/>
      <c r="F1073" s="23"/>
    </row>
    <row r="1074" spans="1:6" ht="16.5">
      <c r="A1074" s="23"/>
      <c r="B1074" s="23"/>
      <c r="C1074" s="23"/>
      <c r="D1074" s="23"/>
      <c r="E1074" s="23"/>
      <c r="F1074" s="23"/>
    </row>
    <row r="1075" spans="1:6" ht="16.5">
      <c r="A1075" s="23"/>
      <c r="B1075" s="23"/>
      <c r="C1075" s="23"/>
      <c r="D1075" s="23"/>
      <c r="E1075" s="23"/>
      <c r="F1075" s="23"/>
    </row>
    <row r="1076" spans="1:6" ht="16.5">
      <c r="A1076" s="23"/>
      <c r="B1076" s="23"/>
      <c r="C1076" s="23"/>
      <c r="D1076" s="23"/>
      <c r="E1076" s="23"/>
      <c r="F1076" s="23"/>
    </row>
    <row r="1077" spans="1:6" ht="16.5">
      <c r="A1077" s="23"/>
      <c r="B1077" s="23"/>
      <c r="C1077" s="23"/>
      <c r="D1077" s="23"/>
      <c r="E1077" s="23"/>
      <c r="F1077" s="23"/>
    </row>
    <row r="1078" spans="1:6" ht="16.5">
      <c r="A1078" s="23"/>
      <c r="B1078" s="23"/>
      <c r="C1078" s="23"/>
      <c r="D1078" s="23"/>
      <c r="E1078" s="23"/>
      <c r="F1078" s="23"/>
    </row>
    <row r="1079" spans="1:6" ht="16.5">
      <c r="A1079" s="23"/>
      <c r="B1079" s="23"/>
      <c r="C1079" s="23"/>
      <c r="D1079" s="23"/>
      <c r="E1079" s="23"/>
      <c r="F1079" s="23"/>
    </row>
    <row r="1080" spans="1:6" ht="16.5">
      <c r="A1080" s="23"/>
      <c r="B1080" s="23"/>
      <c r="C1080" s="23"/>
      <c r="D1080" s="23"/>
      <c r="E1080" s="23"/>
      <c r="F1080" s="23"/>
    </row>
    <row r="1081" spans="1:6" ht="16.5">
      <c r="A1081" s="23"/>
      <c r="B1081" s="23"/>
      <c r="C1081" s="23"/>
      <c r="D1081" s="23"/>
      <c r="E1081" s="23"/>
      <c r="F1081" s="23"/>
    </row>
    <row r="1082" spans="1:6" ht="16.5">
      <c r="A1082" s="23"/>
      <c r="B1082" s="23"/>
      <c r="C1082" s="23"/>
      <c r="D1082" s="23"/>
      <c r="E1082" s="23"/>
      <c r="F1082" s="23"/>
    </row>
    <row r="1083" spans="1:6" ht="16.5">
      <c r="A1083" s="23"/>
      <c r="B1083" s="23"/>
      <c r="C1083" s="23"/>
      <c r="D1083" s="23"/>
      <c r="E1083" s="23"/>
      <c r="F1083" s="23"/>
    </row>
    <row r="1084" spans="1:6" ht="16.5">
      <c r="A1084" s="23"/>
      <c r="B1084" s="23"/>
      <c r="C1084" s="23"/>
      <c r="D1084" s="23"/>
      <c r="E1084" s="23"/>
      <c r="F1084" s="23"/>
    </row>
    <row r="1085" spans="1:6" ht="16.5">
      <c r="A1085" s="23"/>
      <c r="B1085" s="23"/>
      <c r="C1085" s="23"/>
      <c r="D1085" s="23"/>
      <c r="E1085" s="23"/>
      <c r="F1085" s="23"/>
    </row>
    <row r="1086" spans="1:6" ht="16.5">
      <c r="A1086" s="23"/>
      <c r="B1086" s="23"/>
      <c r="C1086" s="23"/>
      <c r="D1086" s="23"/>
      <c r="E1086" s="23"/>
      <c r="F1086" s="23"/>
    </row>
    <row r="1087" spans="1:6" ht="16.5">
      <c r="A1087" s="23"/>
      <c r="B1087" s="23"/>
      <c r="C1087" s="23"/>
      <c r="D1087" s="23"/>
      <c r="E1087" s="23"/>
      <c r="F1087" s="23"/>
    </row>
    <row r="1088" spans="1:6" ht="16.5">
      <c r="A1088" s="23"/>
      <c r="B1088" s="23"/>
      <c r="C1088" s="23"/>
      <c r="D1088" s="23"/>
      <c r="E1088" s="23"/>
      <c r="F1088" s="23"/>
    </row>
    <row r="1089" spans="1:6" ht="16.5">
      <c r="A1089" s="23"/>
      <c r="B1089" s="23"/>
      <c r="C1089" s="23"/>
      <c r="D1089" s="23"/>
      <c r="E1089" s="23"/>
      <c r="F1089" s="23"/>
    </row>
    <row r="1090" spans="1:6" ht="16.5">
      <c r="A1090" s="23"/>
      <c r="B1090" s="23"/>
      <c r="C1090" s="23"/>
      <c r="D1090" s="23"/>
      <c r="E1090" s="23"/>
      <c r="F1090" s="23"/>
    </row>
    <row r="1091" spans="1:6" ht="16.5">
      <c r="A1091" s="23"/>
      <c r="B1091" s="23"/>
      <c r="C1091" s="23"/>
      <c r="D1091" s="23"/>
      <c r="E1091" s="23"/>
      <c r="F1091" s="23"/>
    </row>
    <row r="1092" spans="1:6" ht="16.5">
      <c r="A1092" s="23"/>
      <c r="B1092" s="23"/>
      <c r="C1092" s="23"/>
      <c r="D1092" s="23"/>
      <c r="E1092" s="23"/>
      <c r="F1092" s="23"/>
    </row>
    <row r="1093" spans="1:6" ht="16.5">
      <c r="A1093" s="23"/>
      <c r="B1093" s="23"/>
      <c r="C1093" s="23"/>
      <c r="D1093" s="23"/>
      <c r="E1093" s="23"/>
      <c r="F1093" s="23"/>
    </row>
    <row r="1094" spans="1:6" ht="16.5">
      <c r="A1094" s="23"/>
      <c r="B1094" s="23"/>
      <c r="C1094" s="23"/>
      <c r="D1094" s="23"/>
      <c r="E1094" s="23"/>
      <c r="F1094" s="23"/>
    </row>
    <row r="1095" spans="1:6" ht="16.5">
      <c r="A1095" s="23"/>
      <c r="B1095" s="23"/>
      <c r="C1095" s="23"/>
      <c r="D1095" s="23"/>
      <c r="E1095" s="23"/>
      <c r="F1095" s="23"/>
    </row>
    <row r="1096" spans="1:6" ht="16.5">
      <c r="A1096" s="23"/>
      <c r="B1096" s="23"/>
      <c r="C1096" s="23"/>
      <c r="D1096" s="23"/>
      <c r="E1096" s="23"/>
      <c r="F1096" s="23"/>
    </row>
    <row r="1097" spans="1:6" ht="16.5">
      <c r="A1097" s="23"/>
      <c r="B1097" s="23"/>
      <c r="C1097" s="23"/>
      <c r="D1097" s="23"/>
      <c r="E1097" s="23"/>
      <c r="F1097" s="23"/>
    </row>
    <row r="1098" spans="1:6" ht="16.5">
      <c r="A1098" s="23"/>
      <c r="B1098" s="23"/>
      <c r="C1098" s="23"/>
      <c r="D1098" s="23"/>
      <c r="E1098" s="23"/>
      <c r="F1098" s="23"/>
    </row>
    <row r="1099" spans="1:6" ht="16.5">
      <c r="A1099" s="23"/>
      <c r="B1099" s="23"/>
      <c r="C1099" s="23"/>
      <c r="D1099" s="23"/>
      <c r="E1099" s="23"/>
      <c r="F1099" s="23"/>
    </row>
    <row r="1100" spans="1:6" ht="16.5">
      <c r="A1100" s="23"/>
      <c r="B1100" s="23"/>
      <c r="C1100" s="23"/>
      <c r="D1100" s="23"/>
      <c r="E1100" s="23"/>
      <c r="F1100" s="23"/>
    </row>
    <row r="1101" spans="1:6" ht="16.5">
      <c r="A1101" s="23"/>
      <c r="B1101" s="23"/>
      <c r="C1101" s="23"/>
      <c r="D1101" s="23"/>
      <c r="E1101" s="23"/>
      <c r="F1101" s="23"/>
    </row>
    <row r="1102" spans="1:6" ht="16.5">
      <c r="A1102" s="23"/>
      <c r="B1102" s="23"/>
      <c r="C1102" s="23"/>
      <c r="D1102" s="23"/>
      <c r="E1102" s="23"/>
      <c r="F1102" s="23"/>
    </row>
    <row r="1103" spans="1:6" ht="16.5">
      <c r="A1103" s="23"/>
      <c r="B1103" s="23"/>
      <c r="C1103" s="23"/>
      <c r="D1103" s="23"/>
      <c r="E1103" s="23"/>
      <c r="F1103" s="23"/>
    </row>
    <row r="1104" spans="1:6" ht="16.5">
      <c r="A1104" s="23"/>
      <c r="B1104" s="23"/>
      <c r="C1104" s="23"/>
      <c r="D1104" s="23"/>
      <c r="E1104" s="23"/>
      <c r="F1104" s="23"/>
    </row>
    <row r="1105" spans="1:6" ht="16.5">
      <c r="A1105" s="23"/>
      <c r="B1105" s="23"/>
      <c r="C1105" s="23"/>
      <c r="D1105" s="23"/>
      <c r="E1105" s="23"/>
      <c r="F1105" s="23"/>
    </row>
    <row r="1106" spans="1:6" ht="16.5">
      <c r="A1106" s="23"/>
      <c r="B1106" s="23"/>
      <c r="C1106" s="23"/>
      <c r="D1106" s="23"/>
      <c r="E1106" s="23"/>
      <c r="F1106" s="23"/>
    </row>
    <row r="1107" spans="1:6" ht="16.5">
      <c r="A1107" s="23"/>
      <c r="B1107" s="23"/>
      <c r="C1107" s="23"/>
      <c r="D1107" s="23"/>
      <c r="E1107" s="23"/>
      <c r="F1107" s="23"/>
    </row>
    <row r="1108" spans="1:6" ht="16.5">
      <c r="A1108" s="23"/>
      <c r="B1108" s="23"/>
      <c r="C1108" s="23"/>
      <c r="D1108" s="23"/>
      <c r="E1108" s="23"/>
      <c r="F1108" s="23"/>
    </row>
    <row r="1109" spans="1:6" ht="16.5">
      <c r="A1109" s="23"/>
      <c r="B1109" s="23"/>
      <c r="C1109" s="23"/>
      <c r="D1109" s="23"/>
      <c r="E1109" s="23"/>
      <c r="F1109" s="23"/>
    </row>
    <row r="1110" spans="1:6" ht="16.5">
      <c r="A1110" s="23"/>
      <c r="B1110" s="23"/>
      <c r="C1110" s="23"/>
      <c r="D1110" s="23"/>
      <c r="E1110" s="23"/>
      <c r="F1110" s="23"/>
    </row>
    <row r="1111" spans="1:6" ht="16.5">
      <c r="A1111" s="23"/>
      <c r="B1111" s="23"/>
      <c r="C1111" s="23"/>
      <c r="D1111" s="23"/>
      <c r="E1111" s="23"/>
      <c r="F1111" s="23"/>
    </row>
    <row r="1112" spans="1:6" ht="16.5">
      <c r="A1112" s="23"/>
      <c r="B1112" s="23"/>
      <c r="C1112" s="23"/>
      <c r="D1112" s="23"/>
      <c r="E1112" s="23"/>
      <c r="F1112" s="23"/>
    </row>
    <row r="1113" spans="1:6" ht="16.5">
      <c r="A1113" s="23"/>
      <c r="B1113" s="23"/>
      <c r="C1113" s="23"/>
      <c r="D1113" s="23"/>
      <c r="E1113" s="23"/>
      <c r="F1113" s="23"/>
    </row>
    <row r="1114" spans="1:6" ht="16.5">
      <c r="A1114" s="23"/>
      <c r="B1114" s="23"/>
      <c r="C1114" s="23"/>
      <c r="D1114" s="23"/>
      <c r="E1114" s="23"/>
      <c r="F1114" s="23"/>
    </row>
    <row r="1115" spans="1:6" ht="16.5">
      <c r="A1115" s="23"/>
      <c r="B1115" s="23"/>
      <c r="C1115" s="23"/>
      <c r="D1115" s="23"/>
      <c r="E1115" s="23"/>
      <c r="F1115" s="23"/>
    </row>
    <row r="1116" spans="1:6" ht="16.5">
      <c r="A1116" s="23"/>
      <c r="B1116" s="23"/>
      <c r="C1116" s="23"/>
      <c r="D1116" s="23"/>
      <c r="E1116" s="23"/>
      <c r="F1116" s="23"/>
    </row>
    <row r="1117" spans="1:6" ht="16.5">
      <c r="A1117" s="23"/>
      <c r="B1117" s="23"/>
      <c r="C1117" s="23"/>
      <c r="D1117" s="23"/>
      <c r="E1117" s="23"/>
      <c r="F1117" s="23"/>
    </row>
    <row r="1118" spans="1:6" ht="16.5">
      <c r="A1118" s="23"/>
      <c r="B1118" s="23"/>
      <c r="C1118" s="23"/>
      <c r="D1118" s="23"/>
      <c r="E1118" s="23"/>
      <c r="F1118" s="23"/>
    </row>
    <row r="1119" spans="1:6" ht="16.5">
      <c r="A1119" s="23"/>
      <c r="B1119" s="23"/>
      <c r="C1119" s="23"/>
      <c r="D1119" s="23"/>
      <c r="E1119" s="23"/>
      <c r="F1119" s="23"/>
    </row>
    <row r="1120" spans="1:6" ht="16.5">
      <c r="A1120" s="23"/>
      <c r="B1120" s="23"/>
      <c r="C1120" s="23"/>
      <c r="D1120" s="23"/>
      <c r="E1120" s="23"/>
      <c r="F1120" s="23"/>
    </row>
    <row r="1121" spans="1:6" ht="16.5">
      <c r="A1121" s="23"/>
      <c r="B1121" s="23"/>
      <c r="C1121" s="23"/>
      <c r="D1121" s="23"/>
      <c r="E1121" s="23"/>
      <c r="F1121" s="23"/>
    </row>
    <row r="1122" spans="1:6" ht="16.5">
      <c r="A1122" s="23"/>
      <c r="B1122" s="23"/>
      <c r="C1122" s="23"/>
      <c r="D1122" s="23"/>
      <c r="E1122" s="23"/>
      <c r="F1122" s="23"/>
    </row>
    <row r="1123" spans="1:6" ht="16.5">
      <c r="A1123" s="23"/>
      <c r="B1123" s="23"/>
      <c r="C1123" s="23"/>
      <c r="D1123" s="23"/>
      <c r="E1123" s="23"/>
      <c r="F1123" s="23"/>
    </row>
    <row r="1124" spans="1:6" ht="16.5">
      <c r="A1124" s="23"/>
      <c r="B1124" s="23"/>
      <c r="C1124" s="23"/>
      <c r="D1124" s="23"/>
      <c r="E1124" s="23"/>
      <c r="F1124" s="23"/>
    </row>
    <row r="1125" spans="1:6" ht="16.5">
      <c r="A1125" s="23"/>
      <c r="B1125" s="23"/>
      <c r="C1125" s="23"/>
      <c r="D1125" s="23"/>
      <c r="E1125" s="23"/>
      <c r="F1125" s="23"/>
    </row>
    <row r="1126" spans="1:6" ht="16.5">
      <c r="A1126" s="23"/>
      <c r="B1126" s="23"/>
      <c r="C1126" s="23"/>
      <c r="D1126" s="23"/>
      <c r="E1126" s="23"/>
      <c r="F1126" s="23"/>
    </row>
    <row r="1127" spans="1:6" ht="16.5">
      <c r="A1127" s="23"/>
      <c r="B1127" s="23"/>
      <c r="C1127" s="23"/>
      <c r="D1127" s="23"/>
      <c r="E1127" s="23"/>
      <c r="F1127" s="23"/>
    </row>
    <row r="1128" spans="1:6" ht="16.5">
      <c r="A1128" s="23"/>
      <c r="B1128" s="23"/>
      <c r="C1128" s="23"/>
      <c r="D1128" s="23"/>
      <c r="E1128" s="23"/>
      <c r="F1128" s="23"/>
    </row>
    <row r="1129" spans="1:6" ht="16.5">
      <c r="A1129" s="23"/>
      <c r="B1129" s="23"/>
      <c r="C1129" s="23"/>
      <c r="D1129" s="23"/>
      <c r="E1129" s="23"/>
      <c r="F1129" s="23"/>
    </row>
    <row r="1130" spans="1:6" ht="16.5">
      <c r="A1130" s="23"/>
      <c r="B1130" s="23"/>
      <c r="C1130" s="23"/>
      <c r="D1130" s="23"/>
      <c r="E1130" s="23"/>
      <c r="F1130" s="23"/>
    </row>
    <row r="1131" spans="1:6" ht="16.5">
      <c r="A1131" s="23"/>
      <c r="B1131" s="23"/>
      <c r="C1131" s="23"/>
      <c r="D1131" s="23"/>
      <c r="E1131" s="23"/>
      <c r="F1131" s="23"/>
    </row>
    <row r="1132" spans="1:6" ht="16.5">
      <c r="A1132" s="23"/>
      <c r="B1132" s="23"/>
      <c r="C1132" s="23"/>
      <c r="D1132" s="23"/>
      <c r="E1132" s="23"/>
      <c r="F1132" s="23"/>
    </row>
    <row r="1133" spans="1:6" ht="16.5">
      <c r="A1133" s="23"/>
      <c r="B1133" s="23"/>
      <c r="C1133" s="23"/>
      <c r="D1133" s="23"/>
      <c r="E1133" s="23"/>
      <c r="F1133" s="23"/>
    </row>
    <row r="1134" spans="1:6" ht="16.5">
      <c r="A1134" s="23"/>
      <c r="B1134" s="23"/>
      <c r="C1134" s="23"/>
      <c r="D1134" s="23"/>
      <c r="E1134" s="23"/>
      <c r="F1134" s="23"/>
    </row>
    <row r="1135" spans="1:6" ht="16.5">
      <c r="A1135" s="23"/>
      <c r="B1135" s="23"/>
      <c r="C1135" s="23"/>
      <c r="D1135" s="23"/>
      <c r="E1135" s="23"/>
      <c r="F1135" s="23"/>
    </row>
    <row r="1136" spans="1:6" ht="16.5">
      <c r="A1136" s="23"/>
      <c r="B1136" s="23"/>
      <c r="C1136" s="23"/>
      <c r="D1136" s="23"/>
      <c r="E1136" s="23"/>
      <c r="F1136" s="23"/>
    </row>
    <row r="1137" spans="1:6" ht="16.5">
      <c r="A1137" s="23"/>
      <c r="B1137" s="23"/>
      <c r="C1137" s="23"/>
      <c r="D1137" s="23"/>
      <c r="E1137" s="23"/>
      <c r="F1137" s="23"/>
    </row>
    <row r="1138" spans="1:6" ht="16.5">
      <c r="A1138" s="23"/>
      <c r="B1138" s="23"/>
      <c r="C1138" s="23"/>
      <c r="D1138" s="23"/>
      <c r="E1138" s="23"/>
      <c r="F1138" s="23"/>
    </row>
    <row r="1139" spans="1:6" ht="16.5">
      <c r="A1139" s="23"/>
      <c r="B1139" s="23"/>
      <c r="C1139" s="23"/>
      <c r="D1139" s="23"/>
      <c r="E1139" s="23"/>
      <c r="F1139" s="23"/>
    </row>
    <row r="1140" spans="1:6" ht="16.5">
      <c r="A1140" s="23"/>
      <c r="B1140" s="23"/>
      <c r="C1140" s="23"/>
      <c r="D1140" s="23"/>
      <c r="E1140" s="23"/>
      <c r="F1140" s="23"/>
    </row>
    <row r="1141" spans="1:6" ht="16.5">
      <c r="A1141" s="23"/>
      <c r="B1141" s="23"/>
      <c r="C1141" s="23"/>
      <c r="D1141" s="23"/>
      <c r="E1141" s="23"/>
      <c r="F1141" s="23"/>
    </row>
    <row r="1142" spans="1:6" ht="16.5">
      <c r="A1142" s="23"/>
      <c r="B1142" s="23"/>
      <c r="C1142" s="23"/>
      <c r="D1142" s="23"/>
      <c r="E1142" s="23"/>
      <c r="F1142" s="23"/>
    </row>
    <row r="1143" spans="1:6" ht="16.5">
      <c r="A1143" s="23"/>
      <c r="B1143" s="23"/>
      <c r="C1143" s="23"/>
      <c r="D1143" s="23"/>
      <c r="E1143" s="23"/>
      <c r="F1143" s="23"/>
    </row>
    <row r="1144" spans="1:6" ht="16.5">
      <c r="A1144" s="23"/>
      <c r="B1144" s="23"/>
      <c r="C1144" s="23"/>
      <c r="D1144" s="23"/>
      <c r="E1144" s="23"/>
      <c r="F1144" s="23"/>
    </row>
    <row r="1145" spans="1:6" ht="16.5">
      <c r="A1145" s="23"/>
      <c r="B1145" s="23"/>
      <c r="C1145" s="23"/>
      <c r="D1145" s="23"/>
      <c r="E1145" s="23"/>
      <c r="F1145" s="23"/>
    </row>
    <row r="1146" spans="1:6" ht="16.5">
      <c r="A1146" s="23"/>
      <c r="B1146" s="23"/>
      <c r="C1146" s="23"/>
      <c r="D1146" s="23"/>
      <c r="E1146" s="23"/>
      <c r="F1146" s="23"/>
    </row>
    <row r="1147" spans="1:6" ht="16.5">
      <c r="A1147" s="23"/>
      <c r="B1147" s="23"/>
      <c r="C1147" s="23"/>
      <c r="D1147" s="23"/>
      <c r="E1147" s="23"/>
      <c r="F1147" s="23"/>
    </row>
    <row r="1148" spans="1:6" ht="16.5">
      <c r="A1148" s="23"/>
      <c r="B1148" s="23"/>
      <c r="C1148" s="23"/>
      <c r="D1148" s="23"/>
      <c r="E1148" s="23"/>
      <c r="F1148" s="23"/>
    </row>
    <row r="1149" spans="1:6" ht="16.5">
      <c r="A1149" s="23"/>
      <c r="B1149" s="23"/>
      <c r="C1149" s="23"/>
      <c r="D1149" s="23"/>
      <c r="E1149" s="23"/>
      <c r="F1149" s="23"/>
    </row>
    <row r="1150" spans="1:6" ht="16.5">
      <c r="A1150" s="23"/>
      <c r="B1150" s="23"/>
      <c r="C1150" s="23"/>
      <c r="D1150" s="23"/>
      <c r="E1150" s="23"/>
      <c r="F1150" s="23"/>
    </row>
    <row r="1151" spans="1:6" ht="16.5">
      <c r="A1151" s="23"/>
      <c r="B1151" s="23"/>
      <c r="C1151" s="23"/>
      <c r="D1151" s="23"/>
      <c r="E1151" s="23"/>
      <c r="F1151" s="23"/>
    </row>
    <row r="1152" spans="1:6" ht="16.5">
      <c r="A1152" s="23"/>
      <c r="B1152" s="23"/>
      <c r="C1152" s="23"/>
      <c r="D1152" s="23"/>
      <c r="E1152" s="23"/>
      <c r="F1152" s="23"/>
    </row>
    <row r="1153" spans="1:6" ht="16.5">
      <c r="A1153" s="23"/>
      <c r="B1153" s="23"/>
      <c r="C1153" s="23"/>
      <c r="D1153" s="23"/>
      <c r="E1153" s="23"/>
      <c r="F1153" s="23"/>
    </row>
    <row r="1154" spans="1:6" ht="16.5">
      <c r="A1154" s="23"/>
      <c r="B1154" s="23"/>
      <c r="C1154" s="23"/>
      <c r="D1154" s="23"/>
      <c r="E1154" s="23"/>
      <c r="F1154" s="23"/>
    </row>
    <row r="1155" spans="1:6" ht="16.5">
      <c r="A1155" s="23"/>
      <c r="B1155" s="23"/>
      <c r="C1155" s="23"/>
      <c r="D1155" s="23"/>
      <c r="E1155" s="23"/>
      <c r="F1155" s="23"/>
    </row>
    <row r="1156" spans="1:6" ht="16.5">
      <c r="A1156" s="23"/>
      <c r="B1156" s="23"/>
      <c r="C1156" s="23"/>
      <c r="D1156" s="23"/>
      <c r="E1156" s="23"/>
      <c r="F1156" s="23"/>
    </row>
    <row r="1157" spans="1:6" ht="16.5">
      <c r="A1157" s="23"/>
      <c r="B1157" s="23"/>
      <c r="C1157" s="23"/>
      <c r="D1157" s="23"/>
      <c r="E1157" s="23"/>
      <c r="F1157" s="23"/>
    </row>
    <row r="1158" spans="1:6" ht="16.5">
      <c r="A1158" s="23"/>
      <c r="B1158" s="23"/>
      <c r="C1158" s="23"/>
      <c r="D1158" s="23"/>
      <c r="E1158" s="23"/>
      <c r="F1158" s="23"/>
    </row>
    <row r="1159" spans="1:6" ht="16.5">
      <c r="A1159" s="23"/>
      <c r="B1159" s="23"/>
      <c r="C1159" s="23"/>
      <c r="D1159" s="23"/>
      <c r="E1159" s="23"/>
      <c r="F1159" s="23"/>
    </row>
    <row r="1160" spans="1:6" ht="16.5">
      <c r="A1160" s="23"/>
      <c r="B1160" s="23"/>
      <c r="C1160" s="23"/>
      <c r="D1160" s="23"/>
      <c r="E1160" s="23"/>
      <c r="F1160" s="23"/>
    </row>
    <row r="1161" spans="1:6" ht="16.5">
      <c r="A1161" s="23"/>
      <c r="B1161" s="23"/>
      <c r="C1161" s="23"/>
      <c r="D1161" s="23"/>
      <c r="E1161" s="23"/>
      <c r="F1161" s="23"/>
    </row>
    <row r="1162" spans="1:6" ht="16.5">
      <c r="A1162" s="23"/>
      <c r="B1162" s="23"/>
      <c r="C1162" s="23"/>
      <c r="D1162" s="23"/>
      <c r="E1162" s="23"/>
      <c r="F1162" s="23"/>
    </row>
    <row r="1163" spans="1:6" ht="16.5">
      <c r="A1163" s="23"/>
      <c r="B1163" s="23"/>
      <c r="C1163" s="23"/>
      <c r="D1163" s="23"/>
      <c r="E1163" s="23"/>
      <c r="F1163" s="23"/>
    </row>
    <row r="1164" spans="1:6" ht="16.5">
      <c r="A1164" s="23"/>
      <c r="B1164" s="23"/>
      <c r="C1164" s="23"/>
      <c r="D1164" s="23"/>
      <c r="E1164" s="23"/>
      <c r="F1164" s="23"/>
    </row>
    <row r="1165" spans="1:6" ht="16.5">
      <c r="A1165" s="23"/>
      <c r="B1165" s="23"/>
      <c r="C1165" s="23"/>
      <c r="D1165" s="23"/>
      <c r="E1165" s="23"/>
      <c r="F1165" s="23"/>
    </row>
    <row r="1166" spans="1:6" ht="16.5">
      <c r="A1166" s="23"/>
      <c r="B1166" s="23"/>
      <c r="C1166" s="23"/>
      <c r="D1166" s="23"/>
      <c r="E1166" s="23"/>
      <c r="F1166" s="23"/>
    </row>
    <row r="1167" spans="1:6" ht="16.5">
      <c r="A1167" s="23"/>
      <c r="B1167" s="23"/>
      <c r="C1167" s="23"/>
      <c r="D1167" s="23"/>
      <c r="E1167" s="23"/>
      <c r="F1167" s="23"/>
    </row>
    <row r="1168" spans="1:6" ht="16.5">
      <c r="A1168" s="23"/>
      <c r="B1168" s="23"/>
      <c r="C1168" s="23"/>
      <c r="D1168" s="23"/>
      <c r="E1168" s="23"/>
      <c r="F1168" s="23"/>
    </row>
    <row r="1169" spans="1:6" ht="16.5">
      <c r="A1169" s="23"/>
      <c r="B1169" s="23"/>
      <c r="C1169" s="23"/>
      <c r="D1169" s="23"/>
      <c r="E1169" s="23"/>
      <c r="F1169" s="23"/>
    </row>
    <row r="1170" spans="1:6" ht="16.5">
      <c r="A1170" s="23"/>
      <c r="B1170" s="23"/>
      <c r="C1170" s="23"/>
      <c r="D1170" s="23"/>
      <c r="E1170" s="23"/>
      <c r="F1170" s="23"/>
    </row>
    <row r="1171" spans="1:6" ht="16.5">
      <c r="A1171" s="23"/>
      <c r="B1171" s="23"/>
      <c r="C1171" s="23"/>
      <c r="D1171" s="23"/>
      <c r="E1171" s="23"/>
      <c r="F1171" s="23"/>
    </row>
    <row r="1172" spans="1:6" ht="16.5">
      <c r="A1172" s="23"/>
      <c r="B1172" s="23"/>
      <c r="C1172" s="23"/>
      <c r="D1172" s="23"/>
      <c r="E1172" s="23"/>
      <c r="F1172" s="23"/>
    </row>
    <row r="1173" spans="1:6" ht="16.5">
      <c r="A1173" s="23"/>
      <c r="B1173" s="23"/>
      <c r="C1173" s="23"/>
      <c r="D1173" s="23"/>
      <c r="E1173" s="23"/>
      <c r="F1173" s="23"/>
    </row>
    <row r="1174" spans="1:6" ht="16.5">
      <c r="A1174" s="23"/>
      <c r="B1174" s="23"/>
      <c r="C1174" s="23"/>
      <c r="D1174" s="23"/>
      <c r="E1174" s="23"/>
      <c r="F1174" s="23"/>
    </row>
    <row r="1175" spans="1:6" ht="16.5">
      <c r="A1175" s="23"/>
      <c r="B1175" s="23"/>
      <c r="C1175" s="23"/>
      <c r="D1175" s="23"/>
      <c r="E1175" s="23"/>
      <c r="F1175" s="23"/>
    </row>
    <row r="1176" spans="1:6" ht="16.5">
      <c r="A1176" s="23"/>
      <c r="B1176" s="23"/>
      <c r="C1176" s="23"/>
      <c r="D1176" s="23"/>
      <c r="E1176" s="23"/>
      <c r="F1176" s="23"/>
    </row>
    <row r="1177" spans="1:6" ht="16.5">
      <c r="A1177" s="23"/>
      <c r="B1177" s="23"/>
      <c r="C1177" s="23"/>
      <c r="D1177" s="23"/>
      <c r="E1177" s="23"/>
      <c r="F1177" s="23"/>
    </row>
    <row r="1178" spans="1:6" ht="16.5">
      <c r="A1178" s="23"/>
      <c r="B1178" s="23"/>
      <c r="C1178" s="23"/>
      <c r="D1178" s="23"/>
      <c r="E1178" s="23"/>
      <c r="F1178" s="23"/>
    </row>
    <row r="1179" spans="1:6" ht="16.5">
      <c r="A1179" s="23"/>
      <c r="B1179" s="23"/>
      <c r="C1179" s="23"/>
      <c r="D1179" s="23"/>
      <c r="E1179" s="23"/>
      <c r="F1179" s="23"/>
    </row>
    <row r="1180" spans="1:6" ht="16.5">
      <c r="A1180" s="23"/>
      <c r="B1180" s="23"/>
      <c r="C1180" s="23"/>
      <c r="D1180" s="23"/>
      <c r="E1180" s="23"/>
      <c r="F1180" s="23"/>
    </row>
    <row r="1181" spans="1:6" ht="16.5">
      <c r="A1181" s="23"/>
      <c r="B1181" s="23"/>
      <c r="C1181" s="23"/>
      <c r="D1181" s="23"/>
      <c r="E1181" s="23"/>
      <c r="F1181" s="23"/>
    </row>
    <row r="1182" spans="1:6" ht="16.5">
      <c r="A1182" s="23"/>
      <c r="B1182" s="23"/>
      <c r="C1182" s="23"/>
      <c r="D1182" s="23"/>
      <c r="E1182" s="23"/>
      <c r="F1182" s="23"/>
    </row>
    <row r="1183" spans="1:6" ht="16.5">
      <c r="A1183" s="23"/>
      <c r="B1183" s="23"/>
      <c r="C1183" s="23"/>
      <c r="D1183" s="23"/>
      <c r="E1183" s="23"/>
      <c r="F1183" s="23"/>
    </row>
    <row r="1184" spans="1:6" ht="16.5">
      <c r="A1184" s="23"/>
      <c r="B1184" s="23"/>
      <c r="C1184" s="23"/>
      <c r="D1184" s="23"/>
      <c r="E1184" s="23"/>
      <c r="F1184" s="23"/>
    </row>
    <row r="1185" spans="1:6" ht="16.5">
      <c r="A1185" s="23"/>
      <c r="B1185" s="23"/>
      <c r="C1185" s="23"/>
      <c r="D1185" s="23"/>
      <c r="E1185" s="23"/>
      <c r="F1185" s="23"/>
    </row>
    <row r="1186" spans="1:6" ht="16.5">
      <c r="A1186" s="23"/>
      <c r="B1186" s="23"/>
      <c r="C1186" s="23"/>
      <c r="D1186" s="23"/>
      <c r="E1186" s="23"/>
      <c r="F1186" s="23"/>
    </row>
    <row r="1187" spans="1:6" ht="16.5">
      <c r="A1187" s="23"/>
      <c r="B1187" s="23"/>
      <c r="C1187" s="23"/>
      <c r="D1187" s="23"/>
      <c r="E1187" s="23"/>
      <c r="F1187" s="23"/>
    </row>
    <row r="1188" spans="1:6" ht="16.5">
      <c r="A1188" s="23"/>
      <c r="B1188" s="23"/>
      <c r="C1188" s="23"/>
      <c r="D1188" s="23"/>
      <c r="E1188" s="23"/>
      <c r="F1188" s="23"/>
    </row>
    <row r="1189" spans="1:6" ht="16.5">
      <c r="A1189" s="23"/>
      <c r="B1189" s="23"/>
      <c r="C1189" s="23"/>
      <c r="D1189" s="23"/>
      <c r="E1189" s="23"/>
      <c r="F1189" s="23"/>
    </row>
    <row r="1190" spans="1:6" ht="16.5">
      <c r="A1190" s="23"/>
      <c r="B1190" s="23"/>
      <c r="C1190" s="23"/>
      <c r="D1190" s="23"/>
      <c r="E1190" s="23"/>
      <c r="F1190" s="23"/>
    </row>
    <row r="1191" spans="1:6" ht="16.5">
      <c r="A1191" s="23"/>
      <c r="B1191" s="23"/>
      <c r="C1191" s="23"/>
      <c r="D1191" s="23"/>
      <c r="E1191" s="23"/>
      <c r="F1191" s="23"/>
    </row>
    <row r="1192" spans="1:6" ht="16.5">
      <c r="A1192" s="23"/>
      <c r="B1192" s="23"/>
      <c r="C1192" s="23"/>
      <c r="D1192" s="23"/>
      <c r="E1192" s="23"/>
      <c r="F1192" s="23"/>
    </row>
    <row r="1193" spans="1:6" ht="16.5">
      <c r="A1193" s="23"/>
      <c r="B1193" s="23"/>
      <c r="C1193" s="23"/>
      <c r="D1193" s="23"/>
      <c r="E1193" s="23"/>
      <c r="F1193" s="23"/>
    </row>
    <row r="1194" spans="1:6" ht="16.5">
      <c r="A1194" s="23"/>
      <c r="B1194" s="23"/>
      <c r="C1194" s="23"/>
      <c r="D1194" s="23"/>
      <c r="E1194" s="23"/>
      <c r="F1194" s="23"/>
    </row>
    <row r="1195" spans="1:6" ht="16.5">
      <c r="A1195" s="23"/>
      <c r="B1195" s="23"/>
      <c r="C1195" s="23"/>
      <c r="D1195" s="23"/>
      <c r="E1195" s="23"/>
      <c r="F1195" s="23"/>
    </row>
    <row r="1196" spans="1:6" ht="16.5">
      <c r="A1196" s="23"/>
      <c r="B1196" s="23"/>
      <c r="C1196" s="23"/>
      <c r="D1196" s="23"/>
      <c r="E1196" s="23"/>
      <c r="F1196" s="23"/>
    </row>
    <row r="1197" spans="1:6" ht="16.5">
      <c r="A1197" s="23"/>
      <c r="B1197" s="23"/>
      <c r="C1197" s="23"/>
      <c r="D1197" s="23"/>
      <c r="E1197" s="23"/>
      <c r="F1197" s="23"/>
    </row>
    <row r="1198" spans="1:6" ht="16.5">
      <c r="A1198" s="23"/>
      <c r="B1198" s="23"/>
      <c r="C1198" s="23"/>
      <c r="D1198" s="23"/>
      <c r="E1198" s="23"/>
      <c r="F1198" s="23"/>
    </row>
    <row r="1199" spans="1:6" ht="16.5">
      <c r="A1199" s="23"/>
      <c r="B1199" s="23"/>
      <c r="C1199" s="23"/>
      <c r="D1199" s="23"/>
      <c r="E1199" s="23"/>
      <c r="F1199" s="23"/>
    </row>
    <row r="1200" spans="1:6" ht="16.5">
      <c r="A1200" s="23"/>
      <c r="B1200" s="23"/>
      <c r="C1200" s="23"/>
      <c r="D1200" s="23"/>
      <c r="E1200" s="23"/>
      <c r="F1200" s="23"/>
    </row>
    <row r="1201" spans="1:6" ht="16.5">
      <c r="A1201" s="23"/>
      <c r="B1201" s="23"/>
      <c r="C1201" s="23"/>
      <c r="D1201" s="23"/>
      <c r="E1201" s="23"/>
      <c r="F1201" s="23"/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3" orientation="portrait" r:id="rId1"/>
  <headerFooter alignWithMargins="0"/>
  <rowBreaks count="1" manualBreakCount="1">
    <brk id="47" max="16383" man="1"/>
  </rowBreaks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0-000000000000}">
  <sheetPr codeName="Sheet7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320</v>
      </c>
    </row>
    <row r="10" spans="1:6">
      <c r="A10" s="1" t="s">
        <v>319</v>
      </c>
      <c r="D10" s="21" t="s">
        <v>21</v>
      </c>
      <c r="E10" s="21" t="s">
        <v>318</v>
      </c>
    </row>
    <row r="11" spans="1:6">
      <c r="A11" s="1" t="s">
        <v>317</v>
      </c>
      <c r="D11" s="21" t="s">
        <v>19</v>
      </c>
      <c r="E11" s="21" t="s">
        <v>18</v>
      </c>
    </row>
    <row r="12" spans="1:6">
      <c r="A12" s="1" t="s">
        <v>87</v>
      </c>
      <c r="D12" s="21" t="s">
        <v>17</v>
      </c>
      <c r="E12" s="20" t="s">
        <v>316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315</v>
      </c>
    </row>
    <row r="20" spans="1:6">
      <c r="C20" s="14" t="s">
        <v>314</v>
      </c>
    </row>
    <row r="23" spans="1:6">
      <c r="A23" s="1" t="s">
        <v>313</v>
      </c>
      <c r="C23" s="1" t="s">
        <v>312</v>
      </c>
      <c r="F23" s="1">
        <v>2000</v>
      </c>
    </row>
    <row r="33" spans="1:6" ht="13.5" thickBot="1">
      <c r="F33" s="12">
        <f>SUM(F20:F32)</f>
        <v>2000</v>
      </c>
    </row>
    <row r="34" spans="1:6" ht="13.5" thickTop="1"/>
    <row r="35" spans="1:6" ht="20.100000000000001" customHeight="1">
      <c r="A35" s="10" t="s">
        <v>311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0-000000000000}">
  <sheetPr codeName="Sheet78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334</v>
      </c>
    </row>
    <row r="10" spans="1:6">
      <c r="A10" s="1" t="s">
        <v>333</v>
      </c>
      <c r="D10" s="21" t="s">
        <v>21</v>
      </c>
      <c r="E10" s="21" t="s">
        <v>318</v>
      </c>
    </row>
    <row r="11" spans="1:6">
      <c r="A11" s="1" t="s">
        <v>332</v>
      </c>
      <c r="D11" s="21" t="s">
        <v>19</v>
      </c>
      <c r="E11" s="21" t="s">
        <v>18</v>
      </c>
    </row>
    <row r="12" spans="1:6">
      <c r="A12" s="1" t="s">
        <v>331</v>
      </c>
      <c r="D12" s="21" t="s">
        <v>17</v>
      </c>
      <c r="E12" s="20" t="s">
        <v>330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8" spans="1:6">
      <c r="C18" s="44" t="s">
        <v>329</v>
      </c>
    </row>
    <row r="19" spans="1:6">
      <c r="C19" s="14" t="s">
        <v>314</v>
      </c>
    </row>
    <row r="20" spans="1:6">
      <c r="C20" s="14" t="s">
        <v>328</v>
      </c>
    </row>
    <row r="22" spans="1:6">
      <c r="A22" s="13" t="s">
        <v>327</v>
      </c>
      <c r="C22" s="1" t="s">
        <v>326</v>
      </c>
      <c r="F22" s="1">
        <v>313</v>
      </c>
    </row>
    <row r="24" spans="1:6">
      <c r="C24" s="14" t="s">
        <v>325</v>
      </c>
    </row>
    <row r="25" spans="1:6">
      <c r="C25" s="14" t="s">
        <v>324</v>
      </c>
    </row>
    <row r="27" spans="1:6">
      <c r="A27" s="13" t="s">
        <v>323</v>
      </c>
      <c r="C27" s="13" t="s">
        <v>322</v>
      </c>
      <c r="F27" s="1">
        <v>810</v>
      </c>
    </row>
    <row r="33" spans="1:6" ht="13.5" thickBot="1">
      <c r="F33" s="12">
        <f>SUM(F20:F32)</f>
        <v>1123</v>
      </c>
    </row>
    <row r="34" spans="1:6" ht="13.5" thickTop="1"/>
    <row r="35" spans="1:6" ht="20.100000000000001" customHeight="1">
      <c r="A35" s="11" t="s">
        <v>321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0-000000000000}">
  <sheetPr codeName="Sheet79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341</v>
      </c>
    </row>
    <row r="10" spans="1:6">
      <c r="A10" s="1" t="s">
        <v>340</v>
      </c>
      <c r="D10" s="21" t="s">
        <v>21</v>
      </c>
      <c r="E10" s="21" t="s">
        <v>91</v>
      </c>
    </row>
    <row r="11" spans="1:6">
      <c r="A11" s="1" t="s">
        <v>339</v>
      </c>
      <c r="D11" s="21" t="s">
        <v>19</v>
      </c>
      <c r="E11" s="21" t="s">
        <v>18</v>
      </c>
    </row>
    <row r="12" spans="1:6">
      <c r="A12" s="1" t="s">
        <v>87</v>
      </c>
      <c r="D12" s="21" t="s">
        <v>17</v>
      </c>
      <c r="E12" s="21" t="s">
        <v>338</v>
      </c>
    </row>
    <row r="17" spans="1:6" s="15" customFormat="1" ht="20.100000000000001" customHeight="1">
      <c r="A17" s="18" t="s">
        <v>15</v>
      </c>
      <c r="B17" s="18"/>
      <c r="C17" s="19" t="s">
        <v>14</v>
      </c>
      <c r="D17" s="18"/>
      <c r="E17" s="17"/>
      <c r="F17" s="16" t="s">
        <v>13</v>
      </c>
    </row>
    <row r="21" spans="1:6">
      <c r="C21" s="14" t="s">
        <v>337</v>
      </c>
    </row>
    <row r="22" spans="1:6">
      <c r="C22" s="14" t="s">
        <v>336</v>
      </c>
    </row>
    <row r="23" spans="1:6">
      <c r="C23" s="13"/>
    </row>
    <row r="25" spans="1:6">
      <c r="C25" s="1" t="s">
        <v>335</v>
      </c>
      <c r="F25" s="1">
        <v>2000</v>
      </c>
    </row>
    <row r="26" spans="1:6">
      <c r="C26" s="8"/>
    </row>
    <row r="33" spans="1:6" ht="13.5" thickBot="1">
      <c r="F33" s="12">
        <f>SUM(F20:F32)</f>
        <v>2000</v>
      </c>
    </row>
    <row r="34" spans="1:6" ht="13.5" thickTop="1"/>
    <row r="35" spans="1:6" ht="20.100000000000001" customHeight="1">
      <c r="A35" s="10" t="s">
        <v>311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0-000000000000}">
  <sheetPr codeName="Sheet80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351</v>
      </c>
    </row>
    <row r="10" spans="1:6">
      <c r="A10" s="1" t="s">
        <v>350</v>
      </c>
      <c r="D10" s="21" t="s">
        <v>21</v>
      </c>
      <c r="E10" s="21" t="s">
        <v>349</v>
      </c>
    </row>
    <row r="11" spans="1:6">
      <c r="A11" s="1" t="s">
        <v>348</v>
      </c>
      <c r="D11" s="21" t="s">
        <v>19</v>
      </c>
      <c r="E11" s="21" t="s">
        <v>18</v>
      </c>
    </row>
    <row r="12" spans="1:6">
      <c r="A12" s="1" t="s">
        <v>347</v>
      </c>
      <c r="D12" s="21" t="s">
        <v>17</v>
      </c>
      <c r="E12" s="21" t="s">
        <v>346</v>
      </c>
    </row>
    <row r="13" spans="1:6">
      <c r="A13" s="1" t="s">
        <v>345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2:6">
      <c r="C19" s="14" t="s">
        <v>344</v>
      </c>
    </row>
    <row r="20" spans="2:6">
      <c r="C20" s="14" t="s">
        <v>343</v>
      </c>
    </row>
    <row r="21" spans="2:6">
      <c r="B21" s="8"/>
    </row>
    <row r="22" spans="2:6">
      <c r="B22" s="8"/>
    </row>
    <row r="23" spans="2:6">
      <c r="B23" s="8"/>
    </row>
    <row r="24" spans="2:6">
      <c r="C24" s="1" t="s">
        <v>342</v>
      </c>
      <c r="F24" s="1">
        <v>5000</v>
      </c>
    </row>
    <row r="26" spans="2:6">
      <c r="C26" s="13"/>
    </row>
    <row r="27" spans="2:6">
      <c r="B27" s="8"/>
    </row>
    <row r="28" spans="2:6">
      <c r="B28" s="8"/>
    </row>
    <row r="29" spans="2:6">
      <c r="B29" s="8"/>
    </row>
    <row r="33" spans="1:6" ht="13.5" thickBot="1">
      <c r="F33" s="12">
        <f>SUM(F20:F32)</f>
        <v>5000</v>
      </c>
    </row>
    <row r="34" spans="1:6" ht="13.5" thickTop="1"/>
    <row r="35" spans="1:6" ht="20.100000000000001" customHeight="1">
      <c r="A35" s="10" t="s">
        <v>59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0-000000000000}">
  <sheetPr codeName="Sheet82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362</v>
      </c>
    </row>
    <row r="10" spans="1:6">
      <c r="A10" s="1" t="s">
        <v>361</v>
      </c>
      <c r="D10" s="21" t="s">
        <v>21</v>
      </c>
      <c r="E10" s="21" t="s">
        <v>20</v>
      </c>
    </row>
    <row r="11" spans="1:6">
      <c r="A11" s="1" t="s">
        <v>360</v>
      </c>
      <c r="D11" s="21" t="s">
        <v>19</v>
      </c>
      <c r="E11" s="21" t="s">
        <v>18</v>
      </c>
    </row>
    <row r="12" spans="1:6">
      <c r="A12" s="1" t="s">
        <v>359</v>
      </c>
      <c r="D12" s="21" t="s">
        <v>17</v>
      </c>
      <c r="E12" s="20" t="s">
        <v>358</v>
      </c>
    </row>
    <row r="13" spans="1:6">
      <c r="A13" s="1" t="s">
        <v>357</v>
      </c>
    </row>
    <row r="17" spans="1:6" s="15" customFormat="1" ht="20.100000000000001" customHeight="1">
      <c r="A17" s="18" t="s">
        <v>15</v>
      </c>
      <c r="B17" s="18"/>
      <c r="C17" s="19" t="s">
        <v>14</v>
      </c>
      <c r="D17" s="18"/>
      <c r="E17" s="17"/>
      <c r="F17" s="16" t="s">
        <v>13</v>
      </c>
    </row>
    <row r="20" spans="1:6">
      <c r="C20" s="14" t="s">
        <v>12</v>
      </c>
    </row>
    <row r="23" spans="1:6">
      <c r="C23" s="1" t="s">
        <v>356</v>
      </c>
    </row>
    <row r="24" spans="1:6">
      <c r="C24" s="13" t="s">
        <v>355</v>
      </c>
      <c r="F24" s="1">
        <v>135</v>
      </c>
    </row>
    <row r="25" spans="1:6">
      <c r="C25" s="13" t="s">
        <v>354</v>
      </c>
      <c r="F25" s="1">
        <v>150</v>
      </c>
    </row>
    <row r="26" spans="1:6">
      <c r="C26" s="1" t="s">
        <v>353</v>
      </c>
      <c r="F26" s="1">
        <v>180</v>
      </c>
    </row>
    <row r="33" spans="1:6" ht="13.5" thickBot="1">
      <c r="F33" s="12">
        <f>SUM(F20:F32)</f>
        <v>465</v>
      </c>
    </row>
    <row r="34" spans="1:6" ht="13.5" thickTop="1"/>
    <row r="35" spans="1:6" ht="20.100000000000001" customHeight="1">
      <c r="A35" s="11" t="s">
        <v>352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0-000000000000}">
  <sheetPr codeName="Sheet85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370</v>
      </c>
    </row>
    <row r="10" spans="1:6">
      <c r="A10" s="1" t="s">
        <v>369</v>
      </c>
      <c r="D10" s="21" t="s">
        <v>21</v>
      </c>
      <c r="E10" s="21" t="s">
        <v>368</v>
      </c>
    </row>
    <row r="11" spans="1:6">
      <c r="A11" s="1" t="s">
        <v>367</v>
      </c>
      <c r="D11" s="21" t="s">
        <v>19</v>
      </c>
      <c r="E11" s="21" t="s">
        <v>18</v>
      </c>
    </row>
    <row r="12" spans="1:6">
      <c r="A12" s="1" t="s">
        <v>366</v>
      </c>
      <c r="D12" s="21" t="s">
        <v>17</v>
      </c>
      <c r="E12" s="20" t="s">
        <v>365</v>
      </c>
    </row>
    <row r="13" spans="1:6">
      <c r="A13" s="1" t="s">
        <v>364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2:6">
      <c r="C19" s="13"/>
    </row>
    <row r="20" spans="2:6">
      <c r="C20" s="13"/>
    </row>
    <row r="21" spans="2:6">
      <c r="C21" s="13"/>
    </row>
    <row r="22" spans="2:6">
      <c r="C22" s="13"/>
      <c r="F22" s="7"/>
    </row>
    <row r="23" spans="2:6">
      <c r="C23" s="13" t="s">
        <v>363</v>
      </c>
      <c r="F23" s="1">
        <v>10000</v>
      </c>
    </row>
    <row r="24" spans="2:6">
      <c r="B24" s="8"/>
    </row>
    <row r="25" spans="2:6">
      <c r="B25" s="34"/>
      <c r="C25" s="13"/>
    </row>
    <row r="26" spans="2:6">
      <c r="B26" s="34"/>
      <c r="C26" s="13"/>
    </row>
    <row r="27" spans="2:6">
      <c r="B27" s="34"/>
      <c r="C27" s="13"/>
    </row>
    <row r="28" spans="2:6">
      <c r="B28" s="34"/>
      <c r="C28" s="13"/>
    </row>
    <row r="29" spans="2:6">
      <c r="B29" s="34"/>
      <c r="C29" s="13"/>
    </row>
    <row r="30" spans="2:6">
      <c r="B30" s="34"/>
      <c r="C30" s="13"/>
    </row>
    <row r="33" spans="1:6" ht="13.5" thickBot="1">
      <c r="F33" s="12">
        <f>SUM(F20:F32)</f>
        <v>10000</v>
      </c>
    </row>
    <row r="34" spans="1:6" ht="13.5" thickTop="1"/>
    <row r="35" spans="1:6" ht="20.100000000000001" customHeight="1">
      <c r="A35" s="11" t="s">
        <v>286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0-000000000000}">
  <sheetPr codeName="Sheet86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379</v>
      </c>
    </row>
    <row r="10" spans="1:6">
      <c r="A10" s="1" t="s">
        <v>378</v>
      </c>
      <c r="D10" s="21" t="s">
        <v>21</v>
      </c>
      <c r="E10" s="21" t="s">
        <v>91</v>
      </c>
    </row>
    <row r="11" spans="1:6">
      <c r="A11" s="1" t="s">
        <v>377</v>
      </c>
      <c r="D11" s="21" t="s">
        <v>19</v>
      </c>
      <c r="E11" s="21" t="s">
        <v>18</v>
      </c>
    </row>
    <row r="12" spans="1:6">
      <c r="A12" s="1" t="s">
        <v>376</v>
      </c>
      <c r="D12" s="21" t="s">
        <v>17</v>
      </c>
      <c r="E12" s="21" t="s">
        <v>375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2:6">
      <c r="C19" s="14" t="s">
        <v>374</v>
      </c>
    </row>
    <row r="20" spans="2:6">
      <c r="C20" s="14" t="s">
        <v>373</v>
      </c>
    </row>
    <row r="21" spans="2:6">
      <c r="C21" s="13"/>
      <c r="F21" s="7"/>
    </row>
    <row r="22" spans="2:6">
      <c r="C22" s="13" t="s">
        <v>335</v>
      </c>
      <c r="F22" s="1">
        <v>2000</v>
      </c>
    </row>
    <row r="23" spans="2:6">
      <c r="B23" s="8"/>
    </row>
    <row r="24" spans="2:6">
      <c r="B24" s="34"/>
      <c r="C24" s="14" t="s">
        <v>372</v>
      </c>
    </row>
    <row r="25" spans="2:6">
      <c r="B25" s="34"/>
      <c r="C25" s="14" t="s">
        <v>371</v>
      </c>
    </row>
    <row r="26" spans="2:6">
      <c r="B26" s="34"/>
      <c r="C26" s="13"/>
    </row>
    <row r="27" spans="2:6">
      <c r="B27" s="34"/>
      <c r="C27" s="13" t="s">
        <v>335</v>
      </c>
      <c r="F27" s="1">
        <v>500</v>
      </c>
    </row>
    <row r="28" spans="2:6">
      <c r="B28" s="34"/>
      <c r="C28" s="13"/>
    </row>
    <row r="29" spans="2:6">
      <c r="B29" s="34"/>
      <c r="C29" s="13"/>
    </row>
    <row r="30" spans="2:6">
      <c r="B30" s="34"/>
      <c r="C30" s="13"/>
    </row>
    <row r="33" spans="1:6" ht="13.5" thickBot="1">
      <c r="F33" s="12">
        <f>SUM(F20:F32)</f>
        <v>2500</v>
      </c>
    </row>
    <row r="34" spans="1:6" ht="13.5" thickTop="1"/>
    <row r="35" spans="1:6" ht="20.100000000000001" customHeight="1">
      <c r="A35" s="11" t="s">
        <v>233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0-000000000000}">
  <sheetPr codeName="Sheet8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388</v>
      </c>
    </row>
    <row r="10" spans="1:6">
      <c r="A10" s="1" t="s">
        <v>387</v>
      </c>
      <c r="D10" s="21" t="s">
        <v>21</v>
      </c>
      <c r="E10" s="21" t="s">
        <v>91</v>
      </c>
    </row>
    <row r="11" spans="1:6">
      <c r="A11" s="1" t="s">
        <v>386</v>
      </c>
      <c r="D11" s="21" t="s">
        <v>19</v>
      </c>
      <c r="E11" s="21" t="s">
        <v>18</v>
      </c>
    </row>
    <row r="12" spans="1:6">
      <c r="A12" s="1" t="s">
        <v>385</v>
      </c>
      <c r="D12" s="21" t="s">
        <v>17</v>
      </c>
      <c r="E12" s="21" t="s">
        <v>384</v>
      </c>
    </row>
    <row r="13" spans="1:6">
      <c r="A13" s="1" t="s">
        <v>383</v>
      </c>
    </row>
    <row r="14" spans="1:6">
      <c r="A14" s="1" t="s">
        <v>307</v>
      </c>
    </row>
    <row r="17" spans="1:6" s="15" customFormat="1" ht="20.100000000000001" customHeight="1">
      <c r="A17" s="18" t="s">
        <v>15</v>
      </c>
      <c r="B17" s="18"/>
      <c r="C17" s="19" t="s">
        <v>14</v>
      </c>
      <c r="D17" s="18"/>
      <c r="E17" s="17"/>
      <c r="F17" s="16" t="s">
        <v>13</v>
      </c>
    </row>
    <row r="21" spans="1:6">
      <c r="C21" s="14" t="s">
        <v>382</v>
      </c>
    </row>
    <row r="22" spans="1:6">
      <c r="C22" s="14" t="s">
        <v>381</v>
      </c>
    </row>
    <row r="23" spans="1:6">
      <c r="C23" s="13"/>
      <c r="F23" s="7"/>
    </row>
    <row r="25" spans="1:6">
      <c r="B25" s="8"/>
      <c r="C25" s="13" t="s">
        <v>380</v>
      </c>
      <c r="F25" s="1">
        <v>3000</v>
      </c>
    </row>
    <row r="26" spans="1:6">
      <c r="B26" s="34"/>
      <c r="C26" s="13"/>
    </row>
    <row r="27" spans="1:6">
      <c r="B27" s="34"/>
      <c r="C27" s="13"/>
    </row>
    <row r="28" spans="1:6">
      <c r="B28" s="34"/>
      <c r="C28" s="13"/>
    </row>
    <row r="29" spans="1:6">
      <c r="B29" s="34"/>
      <c r="C29" s="13"/>
    </row>
    <row r="30" spans="1:6">
      <c r="B30" s="34"/>
      <c r="C30" s="13"/>
    </row>
    <row r="33" spans="1:6" ht="13.5" thickBot="1">
      <c r="F33" s="12">
        <f>SUM(F20:F32)</f>
        <v>3000</v>
      </c>
    </row>
    <row r="34" spans="1:6" ht="13.5" thickTop="1"/>
    <row r="35" spans="1:6" ht="20.100000000000001" customHeight="1">
      <c r="A35" s="11" t="s">
        <v>188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500-000000000000}">
  <sheetPr codeName="Sheet88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398</v>
      </c>
    </row>
    <row r="10" spans="1:6">
      <c r="A10" s="1" t="s">
        <v>397</v>
      </c>
      <c r="D10" s="21" t="s">
        <v>21</v>
      </c>
      <c r="E10" s="21" t="s">
        <v>140</v>
      </c>
    </row>
    <row r="11" spans="1:6">
      <c r="A11" s="1" t="s">
        <v>396</v>
      </c>
      <c r="D11" s="21" t="s">
        <v>19</v>
      </c>
      <c r="E11" s="21" t="s">
        <v>18</v>
      </c>
    </row>
    <row r="12" spans="1:6">
      <c r="A12" s="1" t="s">
        <v>395</v>
      </c>
      <c r="D12" s="21" t="s">
        <v>17</v>
      </c>
      <c r="E12" s="21" t="s">
        <v>394</v>
      </c>
    </row>
    <row r="17" spans="1:6" s="15" customFormat="1" ht="20.100000000000001" customHeight="1">
      <c r="A17" s="18" t="s">
        <v>15</v>
      </c>
      <c r="B17" s="18"/>
      <c r="C17" s="19" t="s">
        <v>14</v>
      </c>
      <c r="D17" s="18"/>
      <c r="E17" s="17"/>
      <c r="F17" s="16" t="s">
        <v>13</v>
      </c>
    </row>
    <row r="20" spans="1:6">
      <c r="C20" s="14" t="s">
        <v>393</v>
      </c>
    </row>
    <row r="21" spans="1:6">
      <c r="C21" s="14" t="s">
        <v>392</v>
      </c>
    </row>
    <row r="22" spans="1:6">
      <c r="C22" s="44" t="s">
        <v>391</v>
      </c>
    </row>
    <row r="25" spans="1:6">
      <c r="A25" s="1" t="s">
        <v>390</v>
      </c>
      <c r="C25" s="1" t="s">
        <v>389</v>
      </c>
      <c r="F25" s="1">
        <v>2000</v>
      </c>
    </row>
    <row r="33" spans="1:6" ht="13.5" thickBot="1">
      <c r="F33" s="12">
        <f>SUM(F20:F32)</f>
        <v>2000</v>
      </c>
    </row>
    <row r="34" spans="1:6" ht="13.5" thickTop="1"/>
    <row r="35" spans="1:6" ht="20.100000000000001" customHeight="1">
      <c r="A35" s="10" t="s">
        <v>311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20">
    <pageSetUpPr fitToPage="1"/>
  </sheetPr>
  <dimension ref="A1:F55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4556</v>
      </c>
      <c r="F9" s="111"/>
    </row>
    <row r="10" spans="1:6">
      <c r="A10" s="111" t="s">
        <v>4571</v>
      </c>
      <c r="B10" s="111"/>
      <c r="C10" s="111"/>
      <c r="D10" s="112"/>
      <c r="E10" s="111"/>
      <c r="F10" s="111"/>
    </row>
    <row r="11" spans="1:6">
      <c r="A11" s="111" t="s">
        <v>4558</v>
      </c>
      <c r="B11" s="111"/>
      <c r="C11" s="111"/>
      <c r="D11" s="112" t="s">
        <v>1162</v>
      </c>
      <c r="E11" s="123" t="s">
        <v>4555</v>
      </c>
      <c r="F11" s="111"/>
    </row>
    <row r="12" spans="1:6">
      <c r="A12" s="111" t="s">
        <v>4559</v>
      </c>
      <c r="B12" s="111"/>
      <c r="C12" s="111"/>
      <c r="D12" s="112" t="s">
        <v>1163</v>
      </c>
      <c r="E12" s="112" t="s">
        <v>1094</v>
      </c>
      <c r="F12" s="111"/>
    </row>
    <row r="13" spans="1:6">
      <c r="A13" s="111" t="s">
        <v>4560</v>
      </c>
      <c r="B13" s="111"/>
      <c r="C13" s="111"/>
      <c r="D13" s="112" t="s">
        <v>1135</v>
      </c>
      <c r="E13" s="120" t="s">
        <v>4557</v>
      </c>
      <c r="F13" s="111"/>
    </row>
    <row r="14" spans="1:6">
      <c r="A14" s="111" t="s">
        <v>1647</v>
      </c>
      <c r="B14" s="111"/>
      <c r="C14" s="111"/>
      <c r="D14" s="111"/>
      <c r="E14" s="111"/>
      <c r="F14" s="111"/>
    </row>
    <row r="15" spans="1:6">
      <c r="A15" s="111" t="s">
        <v>4561</v>
      </c>
      <c r="B15" s="111"/>
      <c r="C15" s="111"/>
      <c r="D15" s="111"/>
      <c r="E15" s="111"/>
      <c r="F15" s="111"/>
    </row>
    <row r="16" spans="1:6">
      <c r="A16" s="111"/>
      <c r="B16" s="111"/>
      <c r="C16" s="111"/>
      <c r="D16" s="111"/>
      <c r="E16" s="111"/>
      <c r="F16" s="111"/>
    </row>
    <row r="17" spans="1:6" s="15" customFormat="1" ht="20.100000000000001" customHeight="1">
      <c r="A17" s="18" t="s">
        <v>1122</v>
      </c>
      <c r="B17" s="18" t="s">
        <v>1132</v>
      </c>
      <c r="C17" s="19" t="s">
        <v>14</v>
      </c>
      <c r="D17" s="18"/>
      <c r="E17" s="17"/>
      <c r="F17" s="16" t="s">
        <v>13</v>
      </c>
    </row>
    <row r="18" spans="1:6">
      <c r="A18" s="111"/>
      <c r="B18" s="111"/>
      <c r="C18" s="111"/>
      <c r="D18" s="111"/>
      <c r="E18" s="111"/>
      <c r="F18" s="111"/>
    </row>
    <row r="19" spans="1:6">
      <c r="A19" s="111"/>
      <c r="B19" s="111"/>
      <c r="C19" s="168" t="s">
        <v>3230</v>
      </c>
      <c r="D19" s="111"/>
      <c r="E19" s="111"/>
      <c r="F19" s="111"/>
    </row>
    <row r="21" spans="1:6">
      <c r="A21" s="116" t="s">
        <v>4507</v>
      </c>
      <c r="B21" s="116" t="s">
        <v>4562</v>
      </c>
      <c r="C21" s="120" t="s">
        <v>4563</v>
      </c>
      <c r="D21" s="111"/>
      <c r="E21" s="111"/>
      <c r="F21" s="111">
        <v>700</v>
      </c>
    </row>
    <row r="22" spans="1:6">
      <c r="A22" s="116"/>
      <c r="C22" s="120"/>
      <c r="D22" s="111"/>
      <c r="E22" s="111"/>
      <c r="F22" s="111"/>
    </row>
    <row r="23" spans="1:6">
      <c r="A23" s="116"/>
      <c r="C23" s="120"/>
      <c r="E23" s="111"/>
      <c r="F23" s="111"/>
    </row>
    <row r="24" spans="1:6">
      <c r="C24" s="120"/>
      <c r="E24" s="111"/>
      <c r="F24" s="111"/>
    </row>
    <row r="25" spans="1:6">
      <c r="A25" s="116"/>
      <c r="B25" s="116"/>
      <c r="C25" s="120"/>
      <c r="D25" s="111"/>
      <c r="E25" s="111"/>
      <c r="F25" s="111"/>
    </row>
    <row r="26" spans="1:6">
      <c r="A26" s="116"/>
      <c r="B26" s="116"/>
      <c r="C26" s="111"/>
      <c r="D26" s="111"/>
      <c r="E26" s="111"/>
      <c r="F26" s="111"/>
    </row>
    <row r="27" spans="1:6">
      <c r="A27" s="116"/>
      <c r="B27" s="116"/>
      <c r="C27" s="168"/>
      <c r="D27" s="111"/>
      <c r="E27" s="111"/>
      <c r="F27" s="111"/>
    </row>
    <row r="28" spans="1:6">
      <c r="A28" s="116"/>
      <c r="B28" s="116"/>
      <c r="C28" s="120"/>
      <c r="D28" s="111"/>
      <c r="E28" s="111"/>
      <c r="F28" s="111"/>
    </row>
    <row r="29" spans="1:6">
      <c r="A29" s="116"/>
      <c r="B29" s="120"/>
      <c r="C29" s="111"/>
      <c r="D29" s="111"/>
      <c r="E29" s="111"/>
      <c r="F29" s="111"/>
    </row>
    <row r="30" spans="1:6">
      <c r="A30" s="116"/>
      <c r="B30" s="120"/>
      <c r="C30" s="2"/>
      <c r="D30" s="111"/>
      <c r="E30" s="111"/>
      <c r="F30" s="111"/>
    </row>
    <row r="31" spans="1:6">
      <c r="B31" s="120"/>
      <c r="C31" s="111"/>
      <c r="D31" s="111"/>
      <c r="E31" s="111"/>
      <c r="F31" s="111"/>
    </row>
    <row r="32" spans="1:6">
      <c r="A32" s="116"/>
      <c r="B32" s="116"/>
      <c r="C32" s="111"/>
      <c r="D32" s="111"/>
      <c r="E32" s="111"/>
      <c r="F32" s="111"/>
    </row>
    <row r="33" spans="1:6">
      <c r="A33" s="111"/>
      <c r="B33" s="111"/>
      <c r="C33" s="111"/>
      <c r="D33" s="111"/>
      <c r="E33" s="111"/>
    </row>
    <row r="34" spans="1:6" ht="13.5" thickBot="1">
      <c r="A34" s="111"/>
      <c r="B34" s="111"/>
      <c r="C34" s="111"/>
      <c r="D34" s="111"/>
      <c r="E34" s="111"/>
      <c r="F34" s="117">
        <f>SUM(F21:F33)</f>
        <v>700</v>
      </c>
    </row>
    <row r="35" spans="1:6" ht="13.5" thickTop="1">
      <c r="A35" s="111"/>
      <c r="B35" s="111"/>
      <c r="C35" s="111"/>
      <c r="D35" s="111"/>
      <c r="E35" s="111"/>
      <c r="F35" s="111"/>
    </row>
    <row r="36" spans="1:6" ht="20.100000000000001" customHeight="1">
      <c r="A36" s="118" t="s">
        <v>1133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Seven Hundred and NO/100 -----------</v>
      </c>
      <c r="C36" s="119"/>
      <c r="D36" s="119"/>
      <c r="E36" s="119"/>
      <c r="F36" s="119"/>
    </row>
    <row r="37" spans="1:6">
      <c r="A37" s="120" t="s">
        <v>11</v>
      </c>
      <c r="B37" s="111"/>
      <c r="C37" s="111"/>
      <c r="D37" s="111"/>
      <c r="E37" s="111"/>
      <c r="F37" s="111"/>
    </row>
    <row r="38" spans="1:6" ht="25.5">
      <c r="A38" s="111" t="s">
        <v>10</v>
      </c>
      <c r="B38" s="111"/>
      <c r="C38" s="111"/>
      <c r="D38" s="265" t="s">
        <v>2894</v>
      </c>
      <c r="E38" s="266"/>
      <c r="F38" s="267"/>
    </row>
    <row r="39" spans="1:6">
      <c r="A39" s="111"/>
      <c r="B39" s="111"/>
      <c r="C39" s="111"/>
      <c r="D39" s="111"/>
      <c r="E39" s="111"/>
      <c r="F39" s="111"/>
    </row>
    <row r="40" spans="1:6">
      <c r="A40" s="126"/>
      <c r="B40" s="111"/>
      <c r="C40" s="111"/>
    </row>
    <row r="41" spans="1:6">
      <c r="A41" s="111"/>
      <c r="B41" s="111"/>
      <c r="C41" s="121"/>
      <c r="D41" s="111"/>
      <c r="E41" s="111"/>
      <c r="F41" s="111"/>
    </row>
    <row r="42" spans="1:6">
      <c r="A42" s="122"/>
      <c r="B42" s="122"/>
      <c r="C42" s="111"/>
      <c r="D42" s="111"/>
      <c r="E42" s="111"/>
      <c r="F42" s="111"/>
    </row>
    <row r="43" spans="1:6">
      <c r="B43" s="111"/>
      <c r="C43" s="111"/>
      <c r="D43" s="111"/>
      <c r="E43" s="111"/>
      <c r="F43" s="111"/>
    </row>
    <row r="44" spans="1:6">
      <c r="A44" s="123" t="s">
        <v>8</v>
      </c>
      <c r="C44" s="111"/>
      <c r="D44" s="123" t="s">
        <v>7</v>
      </c>
      <c r="E44" s="111"/>
      <c r="F44" s="124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22"/>
      <c r="B48" s="122"/>
      <c r="C48" s="111"/>
      <c r="D48" s="122"/>
      <c r="E48" s="122"/>
      <c r="F48" s="122"/>
    </row>
    <row r="49" spans="1:6" s="3" customFormat="1" ht="17.100000000000001" customHeight="1">
      <c r="A49" s="151" t="s">
        <v>2948</v>
      </c>
      <c r="B49" s="125"/>
      <c r="C49" s="126"/>
      <c r="D49" s="126" t="s">
        <v>3</v>
      </c>
      <c r="E49" s="126"/>
      <c r="F49" s="126"/>
    </row>
    <row r="50" spans="1:6">
      <c r="A50" s="111"/>
      <c r="B50" s="111"/>
      <c r="C50" s="111"/>
      <c r="D50" s="111" t="s">
        <v>2</v>
      </c>
      <c r="E50" s="111"/>
      <c r="F50" s="111"/>
    </row>
    <row r="51" spans="1:6">
      <c r="A51" s="151"/>
      <c r="B51" s="111"/>
      <c r="C51" s="111"/>
      <c r="D51" s="111"/>
      <c r="E51" s="111"/>
      <c r="F51" s="111"/>
    </row>
    <row r="52" spans="1:6">
      <c r="A52" s="111"/>
      <c r="B52" s="111"/>
      <c r="C52" s="111"/>
      <c r="D52" s="2" t="s">
        <v>1</v>
      </c>
      <c r="E52" s="111"/>
      <c r="F52" s="111"/>
    </row>
    <row r="53" spans="1:6">
      <c r="A53" s="111"/>
      <c r="B53" s="111"/>
      <c r="C53" s="111"/>
      <c r="D53" s="2" t="s">
        <v>0</v>
      </c>
      <c r="E53" s="111"/>
      <c r="F53" s="111"/>
    </row>
    <row r="54" spans="1:6">
      <c r="A54" s="111"/>
      <c r="B54" s="111"/>
      <c r="C54" s="111"/>
      <c r="D54" s="111"/>
      <c r="E54" s="111"/>
      <c r="F54" s="111"/>
    </row>
    <row r="55" spans="1:6">
      <c r="A55" s="111"/>
      <c r="B55" s="111"/>
      <c r="C55" s="111"/>
      <c r="D55" s="111"/>
      <c r="E55" s="111"/>
      <c r="F55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600-000000000000}">
  <sheetPr codeName="Sheet92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408</v>
      </c>
    </row>
    <row r="10" spans="1:6">
      <c r="A10" s="1" t="s">
        <v>407</v>
      </c>
      <c r="D10" s="21" t="s">
        <v>21</v>
      </c>
      <c r="E10" s="21" t="s">
        <v>20</v>
      </c>
    </row>
    <row r="11" spans="1:6">
      <c r="A11" s="13" t="s">
        <v>406</v>
      </c>
      <c r="D11" s="21" t="s">
        <v>19</v>
      </c>
      <c r="E11" s="21" t="s">
        <v>18</v>
      </c>
    </row>
    <row r="12" spans="1:6">
      <c r="A12" s="1" t="s">
        <v>405</v>
      </c>
      <c r="D12" s="21" t="s">
        <v>17</v>
      </c>
      <c r="E12" s="20" t="s">
        <v>404</v>
      </c>
    </row>
    <row r="13" spans="1:6">
      <c r="A13" s="1" t="s">
        <v>403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0" spans="1:6">
      <c r="C20" s="14" t="s">
        <v>12</v>
      </c>
    </row>
    <row r="24" spans="1:6">
      <c r="A24" s="13" t="s">
        <v>402</v>
      </c>
      <c r="C24" s="1" t="s">
        <v>401</v>
      </c>
      <c r="F24" s="1">
        <v>2400</v>
      </c>
    </row>
    <row r="25" spans="1:6">
      <c r="C25" s="1" t="s">
        <v>400</v>
      </c>
      <c r="F25" s="1">
        <v>300</v>
      </c>
    </row>
    <row r="33" spans="1:6" ht="13.5" thickBot="1">
      <c r="F33" s="12">
        <f>SUM(F20:F32)</f>
        <v>2700</v>
      </c>
    </row>
    <row r="34" spans="1:6" ht="13.5" thickTop="1"/>
    <row r="35" spans="1:6" ht="20.100000000000001" customHeight="1">
      <c r="A35" s="10" t="s">
        <v>399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700-000000000000}">
  <sheetPr codeName="Sheet93">
    <pageSetUpPr fitToPage="1"/>
  </sheetPr>
  <dimension ref="A1:F59"/>
  <sheetViews>
    <sheetView workbookViewId="0">
      <selection activeCell="G9" sqref="G9:G13"/>
    </sheetView>
  </sheetViews>
  <sheetFormatPr defaultRowHeight="12.75"/>
  <cols>
    <col min="1" max="1" width="16.7109375" style="1" customWidth="1"/>
    <col min="2" max="2" width="12.7109375" style="1" customWidth="1"/>
    <col min="3" max="3" width="23" style="1" customWidth="1"/>
    <col min="4" max="4" width="14.2851562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2700</v>
      </c>
      <c r="E9" s="111" t="s">
        <v>4065</v>
      </c>
      <c r="F9" s="111"/>
    </row>
    <row r="10" spans="1:6">
      <c r="A10" s="111" t="s">
        <v>2703</v>
      </c>
      <c r="B10" s="111"/>
      <c r="C10" s="111"/>
      <c r="D10" s="112" t="s">
        <v>2702</v>
      </c>
      <c r="E10" s="112" t="s">
        <v>4064</v>
      </c>
      <c r="F10" s="111"/>
    </row>
    <row r="11" spans="1:6">
      <c r="A11" s="111" t="s">
        <v>2704</v>
      </c>
      <c r="B11" s="111"/>
      <c r="C11" s="111"/>
      <c r="D11" s="112" t="s">
        <v>2701</v>
      </c>
      <c r="E11" s="112" t="s">
        <v>1094</v>
      </c>
      <c r="F11" s="111"/>
    </row>
    <row r="12" spans="1:6">
      <c r="A12" s="111" t="s">
        <v>1149</v>
      </c>
      <c r="B12" s="111"/>
      <c r="C12" s="111"/>
      <c r="D12" s="112" t="s">
        <v>2136</v>
      </c>
      <c r="E12" s="112" t="s">
        <v>4066</v>
      </c>
      <c r="F12" s="111"/>
    </row>
    <row r="13" spans="1:6">
      <c r="A13" s="111" t="s">
        <v>2705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2" t="s">
        <v>4067</v>
      </c>
      <c r="D18" s="111"/>
      <c r="E18" s="111"/>
      <c r="F18" s="111"/>
    </row>
    <row r="19" spans="1:6">
      <c r="C19" s="111"/>
      <c r="D19" s="111"/>
      <c r="E19" s="111"/>
      <c r="F19" s="111"/>
    </row>
    <row r="20" spans="1:6">
      <c r="A20" s="116" t="s">
        <v>4068</v>
      </c>
      <c r="B20" s="111"/>
      <c r="C20" s="111" t="s">
        <v>4069</v>
      </c>
      <c r="D20" s="111"/>
      <c r="E20" s="111"/>
      <c r="F20" s="111"/>
    </row>
    <row r="21" spans="1:6">
      <c r="A21" s="111"/>
      <c r="B21" s="111"/>
      <c r="C21" s="111" t="s">
        <v>4070</v>
      </c>
      <c r="D21" s="111"/>
      <c r="E21" s="111"/>
      <c r="F21" s="111">
        <v>600</v>
      </c>
    </row>
    <row r="22" spans="1:6">
      <c r="A22" s="111"/>
      <c r="B22" s="111"/>
      <c r="C22" s="111" t="s">
        <v>4071</v>
      </c>
      <c r="D22" s="111"/>
      <c r="E22" s="111"/>
      <c r="F22" s="111">
        <v>1200</v>
      </c>
    </row>
    <row r="23" spans="1:6">
      <c r="A23" s="111"/>
      <c r="B23" s="111"/>
      <c r="C23" s="120"/>
      <c r="D23" s="111"/>
      <c r="E23" s="111"/>
      <c r="F23" s="111"/>
    </row>
    <row r="24" spans="1:6">
      <c r="A24" s="111"/>
      <c r="B24" s="111"/>
      <c r="C24" s="111"/>
      <c r="D24" s="111"/>
      <c r="E24" s="111"/>
      <c r="F24" s="111"/>
    </row>
    <row r="25" spans="1:6">
      <c r="A25" s="111"/>
      <c r="B25" s="111"/>
      <c r="C25" s="111"/>
      <c r="D25" s="111"/>
      <c r="E25" s="111"/>
      <c r="F25" s="111"/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1800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Eight Hundred and NO/100 -----------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51" t="s">
        <v>2948</v>
      </c>
      <c r="B48" s="125"/>
      <c r="C48" s="126"/>
      <c r="D48" s="126" t="s">
        <v>2706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/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  <row r="57" spans="1:6">
      <c r="A57" s="111"/>
      <c r="B57" s="111"/>
      <c r="C57" s="111"/>
      <c r="D57" s="111"/>
      <c r="E57" s="111"/>
      <c r="F57" s="111"/>
    </row>
    <row r="58" spans="1:6">
      <c r="A58" s="111"/>
      <c r="B58" s="111"/>
      <c r="C58" s="111"/>
      <c r="D58" s="111"/>
      <c r="E58" s="111"/>
      <c r="F58" s="111"/>
    </row>
    <row r="59" spans="1:6">
      <c r="A59" s="111"/>
      <c r="B59" s="111"/>
      <c r="C59" s="111"/>
      <c r="D59" s="111"/>
      <c r="E59" s="111"/>
      <c r="F59" s="111"/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800-000000000000}">
  <sheetPr codeName="Sheet100">
    <pageSetUpPr fitToPage="1"/>
  </sheetPr>
  <dimension ref="A1:H51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</row>
    <row r="2" spans="1:8">
      <c r="A2" s="530" t="s">
        <v>25</v>
      </c>
      <c r="B2" s="530"/>
      <c r="C2" s="530"/>
      <c r="D2" s="530"/>
      <c r="E2" s="530"/>
      <c r="F2" s="530"/>
    </row>
    <row r="3" spans="1:8">
      <c r="A3" s="530" t="s">
        <v>1480</v>
      </c>
      <c r="B3" s="530"/>
      <c r="C3" s="530"/>
      <c r="D3" s="530"/>
      <c r="E3" s="530"/>
      <c r="F3" s="530"/>
    </row>
    <row r="4" spans="1:8">
      <c r="A4" s="530" t="s">
        <v>1481</v>
      </c>
      <c r="B4" s="530"/>
      <c r="C4" s="530"/>
      <c r="D4" s="530"/>
      <c r="E4" s="530"/>
      <c r="F4" s="530"/>
    </row>
    <row r="8" spans="1:8">
      <c r="A8" s="1" t="s">
        <v>24</v>
      </c>
      <c r="D8" s="22" t="s">
        <v>23</v>
      </c>
    </row>
    <row r="9" spans="1:8">
      <c r="D9" s="21" t="s">
        <v>22</v>
      </c>
      <c r="E9" s="13" t="s">
        <v>419</v>
      </c>
    </row>
    <row r="10" spans="1:8">
      <c r="A10" s="1" t="s">
        <v>418</v>
      </c>
      <c r="D10" s="21" t="s">
        <v>21</v>
      </c>
      <c r="E10" s="21" t="s">
        <v>417</v>
      </c>
      <c r="H10" s="21"/>
    </row>
    <row r="11" spans="1:8">
      <c r="A11" s="1" t="s">
        <v>416</v>
      </c>
      <c r="D11" s="21" t="s">
        <v>19</v>
      </c>
      <c r="E11" s="21" t="s">
        <v>18</v>
      </c>
      <c r="H11" s="20"/>
    </row>
    <row r="12" spans="1:8">
      <c r="A12" s="1" t="s">
        <v>415</v>
      </c>
      <c r="D12" s="21" t="s">
        <v>17</v>
      </c>
      <c r="E12" s="21" t="s">
        <v>175</v>
      </c>
    </row>
    <row r="16" spans="1:8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8" spans="1:6">
      <c r="C18" s="13"/>
    </row>
    <row r="19" spans="1:6">
      <c r="C19" s="14" t="s">
        <v>414</v>
      </c>
    </row>
    <row r="20" spans="1:6">
      <c r="C20" s="14"/>
    </row>
    <row r="21" spans="1:6">
      <c r="A21" s="1" t="s">
        <v>413</v>
      </c>
      <c r="B21" s="8"/>
      <c r="C21" s="1" t="s">
        <v>412</v>
      </c>
    </row>
    <row r="22" spans="1:6">
      <c r="B22" s="8"/>
    </row>
    <row r="23" spans="1:6">
      <c r="C23" s="1" t="s">
        <v>411</v>
      </c>
      <c r="F23" s="1">
        <v>500.96</v>
      </c>
    </row>
    <row r="25" spans="1:6">
      <c r="C25" s="1" t="s">
        <v>410</v>
      </c>
      <c r="F25" s="1">
        <v>30</v>
      </c>
    </row>
    <row r="26" spans="1:6">
      <c r="B26" s="8"/>
    </row>
    <row r="27" spans="1:6">
      <c r="B27" s="8"/>
    </row>
    <row r="29" spans="1:6">
      <c r="B29" s="8"/>
    </row>
    <row r="31" spans="1:6" ht="13.5" thickBot="1">
      <c r="F31" s="12">
        <f>SUM(F18:F30)</f>
        <v>530.96</v>
      </c>
    </row>
    <row r="32" spans="1:6" ht="13.5" thickTop="1"/>
    <row r="33" spans="1:6" ht="13.5" thickBot="1">
      <c r="F33" s="12">
        <f>SUM(F20:F32)</f>
        <v>1061.92</v>
      </c>
    </row>
    <row r="34" spans="1:6" ht="20.100000000000001" customHeight="1" thickTop="1">
      <c r="A34" s="10" t="s">
        <v>409</v>
      </c>
      <c r="B34" s="10"/>
      <c r="C34" s="9"/>
      <c r="D34" s="9"/>
      <c r="E34" s="9"/>
      <c r="F34" s="9"/>
    </row>
    <row r="35" spans="1:6">
      <c r="A35" s="8" t="s">
        <v>11</v>
      </c>
    </row>
    <row r="36" spans="1:6">
      <c r="A36" s="1" t="s">
        <v>10</v>
      </c>
    </row>
    <row r="39" spans="1:6" ht="25.5">
      <c r="A39" s="3" t="s">
        <v>9</v>
      </c>
      <c r="D39" s="265" t="s">
        <v>2894</v>
      </c>
      <c r="E39" s="266"/>
      <c r="F39" s="267"/>
    </row>
    <row r="42" spans="1:6">
      <c r="A42" s="6" t="s">
        <v>8</v>
      </c>
      <c r="D42" s="6" t="s">
        <v>7</v>
      </c>
      <c r="F42" s="5"/>
    </row>
    <row r="46" spans="1:6">
      <c r="A46" s="1" t="s">
        <v>6</v>
      </c>
      <c r="D46" s="1" t="s">
        <v>5</v>
      </c>
    </row>
    <row r="47" spans="1:6" s="3" customFormat="1" ht="17.100000000000001" customHeight="1">
      <c r="A47" s="4" t="s">
        <v>4</v>
      </c>
      <c r="B47" s="4"/>
      <c r="D47" s="3" t="s">
        <v>3</v>
      </c>
    </row>
    <row r="48" spans="1:6">
      <c r="D48" s="1" t="s">
        <v>2</v>
      </c>
    </row>
    <row r="50" spans="1:4">
      <c r="A50" s="273" t="s">
        <v>2948</v>
      </c>
      <c r="D50" s="2" t="s">
        <v>1</v>
      </c>
    </row>
    <row r="51" spans="1:4">
      <c r="D51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900-000000000000}">
  <sheetPr codeName="Sheet101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430</v>
      </c>
    </row>
    <row r="10" spans="1:6">
      <c r="A10" s="1" t="s">
        <v>429</v>
      </c>
      <c r="D10" s="21" t="s">
        <v>21</v>
      </c>
      <c r="E10" s="21" t="s">
        <v>428</v>
      </c>
    </row>
    <row r="11" spans="1:6">
      <c r="A11" s="1" t="s">
        <v>427</v>
      </c>
      <c r="D11" s="21" t="s">
        <v>19</v>
      </c>
      <c r="E11" s="21" t="s">
        <v>18</v>
      </c>
    </row>
    <row r="12" spans="1:6">
      <c r="A12" s="1" t="s">
        <v>426</v>
      </c>
      <c r="D12" s="21" t="s">
        <v>17</v>
      </c>
      <c r="E12" s="21" t="s">
        <v>175</v>
      </c>
    </row>
    <row r="13" spans="1:6">
      <c r="A13" s="1" t="s">
        <v>425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3"/>
    </row>
    <row r="20" spans="1:6">
      <c r="C20" s="14" t="s">
        <v>424</v>
      </c>
    </row>
    <row r="22" spans="1:6">
      <c r="A22" s="8" t="s">
        <v>423</v>
      </c>
      <c r="B22" s="8"/>
      <c r="C22" s="1" t="s">
        <v>422</v>
      </c>
    </row>
    <row r="23" spans="1:6">
      <c r="B23" s="8"/>
    </row>
    <row r="24" spans="1:6">
      <c r="C24" s="1" t="s">
        <v>421</v>
      </c>
      <c r="F24" s="1">
        <v>19032</v>
      </c>
    </row>
    <row r="26" spans="1:6">
      <c r="B26" s="8"/>
      <c r="C26" s="1" t="s">
        <v>410</v>
      </c>
      <c r="F26" s="1">
        <v>30</v>
      </c>
    </row>
    <row r="27" spans="1:6">
      <c r="B27" s="8"/>
    </row>
    <row r="30" spans="1:6">
      <c r="B30" s="8"/>
    </row>
    <row r="33" spans="1:6" ht="13.5" thickBot="1">
      <c r="F33" s="12">
        <f>SUM(F20:F32)</f>
        <v>19062</v>
      </c>
    </row>
    <row r="34" spans="1:6" ht="13.5" thickTop="1"/>
    <row r="35" spans="1:6" ht="20.100000000000001" customHeight="1">
      <c r="A35" s="10" t="s">
        <v>420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A00-000000000000}">
  <sheetPr codeName="Sheet103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443</v>
      </c>
    </row>
    <row r="10" spans="1:6">
      <c r="A10" s="1" t="s">
        <v>442</v>
      </c>
      <c r="D10" s="21" t="s">
        <v>21</v>
      </c>
      <c r="E10" s="21" t="s">
        <v>441</v>
      </c>
    </row>
    <row r="11" spans="1:6">
      <c r="A11" s="1" t="s">
        <v>440</v>
      </c>
      <c r="D11" s="21" t="s">
        <v>19</v>
      </c>
      <c r="E11" s="21" t="s">
        <v>18</v>
      </c>
    </row>
    <row r="12" spans="1:6">
      <c r="A12" s="1" t="s">
        <v>439</v>
      </c>
      <c r="D12" s="21" t="s">
        <v>17</v>
      </c>
      <c r="E12" s="21" t="s">
        <v>438</v>
      </c>
    </row>
    <row r="13" spans="1:6">
      <c r="A13" s="1" t="s">
        <v>437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436</v>
      </c>
    </row>
    <row r="20" spans="1:6">
      <c r="C20" s="14" t="s">
        <v>435</v>
      </c>
    </row>
    <row r="22" spans="1:6">
      <c r="B22" s="8"/>
    </row>
    <row r="23" spans="1:6">
      <c r="A23" s="1" t="s">
        <v>434</v>
      </c>
      <c r="C23" s="1" t="s">
        <v>433</v>
      </c>
    </row>
    <row r="24" spans="1:6">
      <c r="B24" s="8"/>
    </row>
    <row r="25" spans="1:6">
      <c r="B25" s="8"/>
      <c r="C25" s="1" t="s">
        <v>432</v>
      </c>
      <c r="F25" s="1">
        <v>17910.400000000001</v>
      </c>
    </row>
    <row r="26" spans="1:6">
      <c r="C26" s="8"/>
    </row>
    <row r="27" spans="1:6">
      <c r="B27" s="8"/>
      <c r="C27" s="1" t="s">
        <v>410</v>
      </c>
      <c r="F27" s="1">
        <v>10</v>
      </c>
    </row>
    <row r="28" spans="1:6">
      <c r="B28" s="8"/>
    </row>
    <row r="33" spans="1:6" ht="13.5" thickBot="1">
      <c r="F33" s="12">
        <f>SUM(F20:F32)</f>
        <v>17920.400000000001</v>
      </c>
    </row>
    <row r="34" spans="1:6" ht="13.5" thickTop="1"/>
    <row r="35" spans="1:6" ht="20.100000000000001" customHeight="1">
      <c r="A35" s="10" t="s">
        <v>431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67AEF-0229-47B8-BD14-430226B378C4}">
  <sheetPr codeName="Sheet583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5.140625" style="131" customWidth="1"/>
    <col min="2" max="2" width="16.5703125" style="131" customWidth="1"/>
    <col min="3" max="3" width="1" style="131" customWidth="1"/>
    <col min="4" max="4" width="22.42578125" style="131" customWidth="1"/>
    <col min="5" max="5" width="1.28515625" style="131" customWidth="1"/>
    <col min="6" max="6" width="14.42578125" style="131" customWidth="1"/>
    <col min="7" max="7" width="1.28515625" style="131" customWidth="1"/>
    <col min="8" max="8" width="15.85546875" style="131" customWidth="1"/>
    <col min="9" max="16384" width="9.140625" style="131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  <c r="G8" s="87"/>
    </row>
    <row r="9" spans="1:8">
      <c r="F9" s="132" t="s">
        <v>1110</v>
      </c>
      <c r="G9" s="132"/>
      <c r="H9" s="131" t="s">
        <v>6090</v>
      </c>
    </row>
    <row r="10" spans="1:8">
      <c r="A10" s="131" t="s">
        <v>6091</v>
      </c>
      <c r="F10" s="132" t="s">
        <v>1685</v>
      </c>
      <c r="G10" s="132"/>
      <c r="H10" s="131" t="s">
        <v>6027</v>
      </c>
    </row>
    <row r="11" spans="1:8">
      <c r="A11" s="131" t="s">
        <v>6092</v>
      </c>
      <c r="F11" s="132" t="s">
        <v>1187</v>
      </c>
      <c r="G11" s="132"/>
      <c r="H11" s="131" t="s">
        <v>1094</v>
      </c>
    </row>
    <row r="12" spans="1:8">
      <c r="A12" s="131" t="s">
        <v>6093</v>
      </c>
      <c r="F12" s="132" t="s">
        <v>2148</v>
      </c>
      <c r="G12" s="132"/>
      <c r="H12" s="131" t="s">
        <v>1270</v>
      </c>
    </row>
    <row r="13" spans="1:8">
      <c r="A13" s="131" t="s">
        <v>6094</v>
      </c>
    </row>
    <row r="16" spans="1:8" s="95" customFormat="1" ht="20.100000000000001" customHeight="1">
      <c r="A16" s="90" t="s">
        <v>1140</v>
      </c>
      <c r="B16" s="91" t="s">
        <v>1098</v>
      </c>
      <c r="C16" s="91"/>
      <c r="D16" s="92" t="s">
        <v>14</v>
      </c>
      <c r="E16" s="92"/>
      <c r="F16" s="92"/>
      <c r="G16" s="92"/>
      <c r="H16" s="94" t="s">
        <v>13</v>
      </c>
    </row>
    <row r="18" spans="1:8">
      <c r="D18" s="110" t="s">
        <v>6095</v>
      </c>
      <c r="E18" s="110"/>
      <c r="F18" s="110"/>
      <c r="G18" s="110"/>
    </row>
    <row r="19" spans="1:8">
      <c r="A19" s="163"/>
    </row>
    <row r="20" spans="1:8">
      <c r="A20" s="165" t="s">
        <v>6096</v>
      </c>
      <c r="B20" s="158" t="s">
        <v>6097</v>
      </c>
      <c r="C20" s="306"/>
      <c r="D20" s="131" t="s">
        <v>6098</v>
      </c>
      <c r="H20" s="149">
        <f>1120*3.0812</f>
        <v>3450.944</v>
      </c>
    </row>
    <row r="21" spans="1:8">
      <c r="A21" s="165"/>
      <c r="B21" s="140"/>
      <c r="C21" s="140"/>
      <c r="D21" s="131" t="s">
        <v>6099</v>
      </c>
      <c r="H21" s="149">
        <f>2145*3.0812</f>
        <v>6609.174</v>
      </c>
    </row>
    <row r="22" spans="1:8">
      <c r="D22" s="131" t="s">
        <v>6100</v>
      </c>
      <c r="H22" s="149">
        <f>5550*3.0812</f>
        <v>17100.66</v>
      </c>
    </row>
    <row r="23" spans="1:8">
      <c r="H23" s="149"/>
    </row>
    <row r="24" spans="1:8">
      <c r="A24" s="162"/>
      <c r="D24" s="131" t="s">
        <v>6101</v>
      </c>
      <c r="E24" s="200"/>
      <c r="H24" s="149"/>
    </row>
    <row r="25" spans="1:8">
      <c r="A25" s="162"/>
      <c r="B25" s="140"/>
      <c r="C25" s="140"/>
      <c r="H25" s="149"/>
    </row>
    <row r="26" spans="1:8">
      <c r="A26" s="163"/>
      <c r="B26" s="140"/>
      <c r="C26" s="140"/>
      <c r="D26" s="131" t="s">
        <v>1697</v>
      </c>
      <c r="H26" s="149">
        <v>10</v>
      </c>
    </row>
    <row r="27" spans="1:8">
      <c r="A27" s="162"/>
      <c r="B27" s="140"/>
      <c r="C27" s="140"/>
      <c r="D27" s="200"/>
    </row>
    <row r="28" spans="1:8">
      <c r="A28" s="162"/>
    </row>
    <row r="29" spans="1:8">
      <c r="A29" s="162"/>
    </row>
    <row r="30" spans="1:8">
      <c r="F30" s="200"/>
      <c r="G30" s="200"/>
    </row>
    <row r="34" spans="1:8" ht="13.5" thickBot="1">
      <c r="H34" s="164">
        <f>SUM(H20:H33)</f>
        <v>27170.777999999998</v>
      </c>
    </row>
    <row r="35" spans="1:8" ht="13.5" thickTop="1"/>
    <row r="36" spans="1:8" ht="20.100000000000001" customHeight="1">
      <c r="A36" s="138" t="s">
        <v>204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Twenty-Seven Thousand One Hundred Seventy and 78/100 -----------</v>
      </c>
      <c r="C36" s="138"/>
      <c r="D36" s="139"/>
      <c r="E36" s="139"/>
      <c r="F36" s="139"/>
      <c r="G36" s="139"/>
      <c r="H36" s="139"/>
    </row>
    <row r="37" spans="1:8">
      <c r="A37" s="140" t="s">
        <v>11</v>
      </c>
    </row>
    <row r="38" spans="1:8" ht="25.5">
      <c r="A38" s="131" t="s">
        <v>10</v>
      </c>
      <c r="D38" s="471"/>
      <c r="E38" s="143"/>
      <c r="F38" s="342" t="s">
        <v>2894</v>
      </c>
      <c r="G38" s="340"/>
      <c r="H38" s="343"/>
    </row>
    <row r="39" spans="1:8">
      <c r="D39" s="445"/>
    </row>
    <row r="40" spans="1:8">
      <c r="A40" s="147"/>
      <c r="D40" s="445"/>
    </row>
    <row r="41" spans="1:8">
      <c r="A41" s="131" t="s">
        <v>52</v>
      </c>
      <c r="D41" s="445"/>
      <c r="F41" s="141"/>
      <c r="G41" s="141"/>
    </row>
    <row r="42" spans="1:8">
      <c r="A42" s="142"/>
      <c r="B42" s="142"/>
      <c r="D42" s="445"/>
    </row>
    <row r="43" spans="1:8">
      <c r="D43" s="472"/>
      <c r="E43" s="145"/>
    </row>
    <row r="44" spans="1:8">
      <c r="D44" s="145"/>
      <c r="E44" s="145"/>
    </row>
    <row r="45" spans="1:8">
      <c r="A45" s="143" t="s">
        <v>8</v>
      </c>
      <c r="D45" s="143" t="s">
        <v>8</v>
      </c>
      <c r="E45" s="143"/>
      <c r="F45" s="143" t="s">
        <v>7</v>
      </c>
    </row>
    <row r="49" spans="1:8">
      <c r="A49" s="142" t="s">
        <v>51</v>
      </c>
      <c r="B49" s="142"/>
      <c r="D49" s="142" t="s">
        <v>51</v>
      </c>
      <c r="F49" s="142"/>
      <c r="G49" s="142"/>
      <c r="H49" s="142"/>
    </row>
    <row r="50" spans="1:8" s="147" customFormat="1" ht="17.100000000000001" customHeight="1">
      <c r="A50" s="145" t="s">
        <v>2948</v>
      </c>
      <c r="B50" s="146"/>
      <c r="C50" s="146"/>
      <c r="D50" s="145" t="s">
        <v>103</v>
      </c>
      <c r="E50" s="145"/>
      <c r="F50" s="147" t="s">
        <v>3</v>
      </c>
    </row>
    <row r="51" spans="1:8">
      <c r="F51" s="131" t="s">
        <v>2</v>
      </c>
    </row>
    <row r="52" spans="1:8">
      <c r="A52" s="145"/>
    </row>
    <row r="53" spans="1:8">
      <c r="F53" s="110" t="s">
        <v>1</v>
      </c>
    </row>
    <row r="54" spans="1:8">
      <c r="F54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B00-000000000000}">
  <sheetPr codeName="Sheet124">
    <pageSetUpPr fitToPage="1"/>
  </sheetPr>
  <dimension ref="A1:F52"/>
  <sheetViews>
    <sheetView topLeftCell="A4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454</v>
      </c>
    </row>
    <row r="10" spans="1:6">
      <c r="A10" s="1" t="s">
        <v>453</v>
      </c>
      <c r="D10" s="21" t="s">
        <v>21</v>
      </c>
      <c r="E10" s="21" t="s">
        <v>452</v>
      </c>
    </row>
    <row r="11" spans="1:6">
      <c r="A11" s="1" t="s">
        <v>451</v>
      </c>
      <c r="D11" s="21" t="s">
        <v>19</v>
      </c>
      <c r="E11" s="21" t="s">
        <v>18</v>
      </c>
    </row>
    <row r="12" spans="1:6">
      <c r="A12" s="1" t="s">
        <v>450</v>
      </c>
      <c r="D12" s="21" t="s">
        <v>17</v>
      </c>
      <c r="E12" s="21" t="s">
        <v>449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2" spans="1:6">
      <c r="A22" s="1" t="s">
        <v>448</v>
      </c>
      <c r="C22" s="1" t="s">
        <v>447</v>
      </c>
      <c r="F22" s="1">
        <v>275</v>
      </c>
    </row>
    <row r="24" spans="1:6">
      <c r="C24" s="1" t="s">
        <v>446</v>
      </c>
      <c r="F24" s="1">
        <v>120</v>
      </c>
    </row>
    <row r="26" spans="1:6">
      <c r="C26" s="1" t="s">
        <v>445</v>
      </c>
      <c r="F26" s="1">
        <v>25</v>
      </c>
    </row>
    <row r="33" spans="1:6" ht="13.5" thickBot="1">
      <c r="F33" s="12">
        <f>SUM(F20:F32)</f>
        <v>420</v>
      </c>
    </row>
    <row r="34" spans="1:6" ht="13.5" thickTop="1"/>
    <row r="35" spans="1:6" ht="20.100000000000001" customHeight="1">
      <c r="A35" s="10" t="s">
        <v>444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C00-000000000000}">
  <sheetPr codeName="Sheet4">
    <pageSetUpPr fitToPage="1"/>
  </sheetPr>
  <dimension ref="A1:F51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824</v>
      </c>
    </row>
    <row r="10" spans="1:6">
      <c r="A10" s="13" t="s">
        <v>823</v>
      </c>
      <c r="D10" s="21" t="s">
        <v>21</v>
      </c>
      <c r="E10" s="21" t="s">
        <v>643</v>
      </c>
    </row>
    <row r="11" spans="1:6">
      <c r="A11" s="13" t="s">
        <v>822</v>
      </c>
      <c r="D11" s="21" t="s">
        <v>19</v>
      </c>
      <c r="E11" s="21" t="s">
        <v>18</v>
      </c>
    </row>
    <row r="12" spans="1:6">
      <c r="A12" s="13" t="s">
        <v>458</v>
      </c>
      <c r="D12" s="21" t="s">
        <v>17</v>
      </c>
      <c r="E12" s="20" t="s">
        <v>821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1:6">
      <c r="C19" s="14" t="s">
        <v>820</v>
      </c>
    </row>
    <row r="20" spans="1:6">
      <c r="C20" s="14" t="s">
        <v>819</v>
      </c>
    </row>
    <row r="22" spans="1:6">
      <c r="C22" s="8"/>
    </row>
    <row r="23" spans="1:6">
      <c r="A23" s="13"/>
      <c r="C23" s="13" t="s">
        <v>818</v>
      </c>
      <c r="F23" s="1">
        <v>5000</v>
      </c>
    </row>
    <row r="24" spans="1:6">
      <c r="C24" s="13"/>
    </row>
    <row r="25" spans="1:6">
      <c r="B25" s="8"/>
      <c r="C25" s="13"/>
    </row>
    <row r="26" spans="1:6">
      <c r="B26" s="8"/>
      <c r="C26" s="13"/>
    </row>
    <row r="31" spans="1:6" ht="13.5" thickBot="1">
      <c r="F31" s="12">
        <f>SUM(F18:F30)</f>
        <v>5000</v>
      </c>
    </row>
    <row r="32" spans="1:6" ht="13.5" thickTop="1"/>
    <row r="33" spans="1:6" ht="13.5" thickBot="1">
      <c r="F33" s="12">
        <f>SUM(F20:F32)</f>
        <v>10000</v>
      </c>
    </row>
    <row r="34" spans="1:6" ht="20.100000000000001" customHeight="1" thickTop="1">
      <c r="A34" s="11" t="s">
        <v>59</v>
      </c>
      <c r="B34" s="10"/>
      <c r="C34" s="9"/>
      <c r="D34" s="9"/>
      <c r="E34" s="9"/>
      <c r="F34" s="9"/>
    </row>
    <row r="35" spans="1:6">
      <c r="A35" s="8" t="s">
        <v>11</v>
      </c>
    </row>
    <row r="36" spans="1:6">
      <c r="A36" s="1" t="s">
        <v>10</v>
      </c>
    </row>
    <row r="39" spans="1:6" ht="25.5">
      <c r="A39" s="3" t="s">
        <v>9</v>
      </c>
      <c r="C39" s="7"/>
      <c r="D39" s="265" t="s">
        <v>2894</v>
      </c>
      <c r="E39" s="266"/>
      <c r="F39" s="267"/>
    </row>
    <row r="42" spans="1:6">
      <c r="A42" s="6" t="s">
        <v>8</v>
      </c>
      <c r="D42" s="6" t="s">
        <v>7</v>
      </c>
      <c r="F42" s="5"/>
    </row>
    <row r="46" spans="1:6">
      <c r="A46" s="1" t="s">
        <v>6</v>
      </c>
      <c r="D46" s="1" t="s">
        <v>5</v>
      </c>
    </row>
    <row r="47" spans="1:6" s="3" customFormat="1" ht="17.100000000000001" customHeight="1">
      <c r="A47" s="4" t="s">
        <v>4</v>
      </c>
      <c r="B47" s="4"/>
      <c r="D47" s="3" t="s">
        <v>3</v>
      </c>
    </row>
    <row r="48" spans="1:6">
      <c r="D48" s="1" t="s">
        <v>2</v>
      </c>
    </row>
    <row r="50" spans="1:4">
      <c r="A50" s="273" t="s">
        <v>2948</v>
      </c>
      <c r="D50" s="84" t="s">
        <v>1</v>
      </c>
    </row>
    <row r="51" spans="1:4">
      <c r="D51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D00-000000000000}">
  <sheetPr codeName="Sheet5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836</v>
      </c>
    </row>
    <row r="10" spans="1:6">
      <c r="A10" s="1" t="s">
        <v>835</v>
      </c>
      <c r="D10" s="21" t="s">
        <v>21</v>
      </c>
      <c r="E10" s="21" t="s">
        <v>643</v>
      </c>
    </row>
    <row r="11" spans="1:6">
      <c r="A11" s="1" t="s">
        <v>834</v>
      </c>
      <c r="D11" s="21" t="s">
        <v>19</v>
      </c>
      <c r="E11" s="21" t="s">
        <v>18</v>
      </c>
    </row>
    <row r="12" spans="1:6">
      <c r="A12" s="1" t="s">
        <v>660</v>
      </c>
      <c r="D12" s="21" t="s">
        <v>17</v>
      </c>
      <c r="E12" s="20" t="s">
        <v>833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1:6">
      <c r="C19" s="14" t="s">
        <v>832</v>
      </c>
    </row>
    <row r="20" spans="1:6">
      <c r="C20" s="14" t="s">
        <v>831</v>
      </c>
    </row>
    <row r="21" spans="1:6">
      <c r="C21" s="34"/>
    </row>
    <row r="23" spans="1:6">
      <c r="A23" s="13" t="s">
        <v>830</v>
      </c>
      <c r="C23" s="13" t="s">
        <v>829</v>
      </c>
      <c r="F23" s="1">
        <v>98592</v>
      </c>
    </row>
    <row r="24" spans="1:6">
      <c r="C24" s="13" t="s">
        <v>828</v>
      </c>
    </row>
    <row r="25" spans="1:6">
      <c r="C25" s="13" t="s">
        <v>827</v>
      </c>
    </row>
    <row r="26" spans="1:6">
      <c r="C26" s="13" t="s">
        <v>826</v>
      </c>
    </row>
    <row r="27" spans="1:6">
      <c r="C27" s="13"/>
    </row>
    <row r="29" spans="1:6">
      <c r="B29" s="8"/>
    </row>
    <row r="30" spans="1:6">
      <c r="B30" s="8"/>
    </row>
    <row r="31" spans="1:6">
      <c r="B31" s="8"/>
    </row>
    <row r="33" spans="1:6" ht="13.5" thickBot="1">
      <c r="F33" s="12">
        <f>SUM(F20:F32)</f>
        <v>98592</v>
      </c>
    </row>
    <row r="34" spans="1:6" ht="13.5" thickTop="1"/>
    <row r="35" spans="1:6" ht="20.100000000000001" customHeight="1">
      <c r="A35" s="11" t="s">
        <v>825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E00-000000000000}">
  <sheetPr codeName="Sheet6">
    <pageSetUpPr fitToPage="1"/>
  </sheetPr>
  <dimension ref="A1:F52"/>
  <sheetViews>
    <sheetView topLeftCell="A7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844</v>
      </c>
    </row>
    <row r="10" spans="1:6">
      <c r="A10" s="1" t="s">
        <v>843</v>
      </c>
      <c r="D10" s="21" t="s">
        <v>21</v>
      </c>
      <c r="E10" s="21" t="s">
        <v>527</v>
      </c>
    </row>
    <row r="11" spans="1:6">
      <c r="A11" s="1" t="s">
        <v>842</v>
      </c>
      <c r="D11" s="21" t="s">
        <v>19</v>
      </c>
      <c r="E11" s="21" t="s">
        <v>18</v>
      </c>
    </row>
    <row r="12" spans="1:6">
      <c r="A12" s="1" t="s">
        <v>841</v>
      </c>
      <c r="D12" s="21" t="s">
        <v>17</v>
      </c>
      <c r="E12" s="21" t="s">
        <v>840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1:6">
      <c r="C19" s="13"/>
    </row>
    <row r="20" spans="1:6">
      <c r="C20" s="13"/>
    </row>
    <row r="21" spans="1:6">
      <c r="C21" s="13"/>
    </row>
    <row r="24" spans="1:6">
      <c r="A24" s="1" t="s">
        <v>839</v>
      </c>
      <c r="C24" s="1" t="s">
        <v>838</v>
      </c>
      <c r="F24" s="1">
        <v>100</v>
      </c>
    </row>
    <row r="25" spans="1:6">
      <c r="C25" s="13" t="s">
        <v>837</v>
      </c>
    </row>
    <row r="26" spans="1:6">
      <c r="C26" s="13"/>
    </row>
    <row r="27" spans="1:6">
      <c r="C27" s="13"/>
    </row>
    <row r="29" spans="1:6">
      <c r="B29" s="8"/>
    </row>
    <row r="30" spans="1:6">
      <c r="B30" s="8"/>
    </row>
    <row r="31" spans="1:6">
      <c r="B31" s="8"/>
    </row>
    <row r="33" spans="1:6" ht="13.5" thickBot="1">
      <c r="F33" s="12">
        <f>SUM(F20:F32)</f>
        <v>100</v>
      </c>
    </row>
    <row r="34" spans="1:6" ht="13.5" thickTop="1"/>
    <row r="35" spans="1:6" ht="20.100000000000001" customHeight="1">
      <c r="A35" s="10" t="s">
        <v>455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94"/>
  <dimension ref="A1:S55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28515625" style="131" customWidth="1"/>
    <col min="2" max="2" width="13.140625" style="131" customWidth="1"/>
    <col min="3" max="3" width="0.5703125" style="131" customWidth="1"/>
    <col min="4" max="4" width="20" style="131" customWidth="1"/>
    <col min="5" max="5" width="1.140625" style="131" customWidth="1"/>
    <col min="6" max="6" width="15.7109375" style="131" customWidth="1"/>
    <col min="7" max="7" width="9.28515625" style="131" customWidth="1"/>
    <col min="8" max="8" width="13.28515625" style="131" customWidth="1"/>
    <col min="9" max="16" width="9.140625" style="131"/>
    <col min="17" max="17" width="18.140625" style="131" customWidth="1"/>
    <col min="18" max="16384" width="9.140625" style="131"/>
  </cols>
  <sheetData>
    <row r="1" spans="1:19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9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9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9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19">
      <c r="A8" s="131" t="s">
        <v>24</v>
      </c>
      <c r="F8" s="87" t="s">
        <v>23</v>
      </c>
      <c r="I8" s="162"/>
      <c r="J8" s="162"/>
      <c r="K8" s="162"/>
      <c r="L8" s="162"/>
    </row>
    <row r="9" spans="1:19">
      <c r="F9" s="132" t="s">
        <v>1716</v>
      </c>
      <c r="G9" s="489" t="s">
        <v>6833</v>
      </c>
      <c r="I9" s="162"/>
      <c r="J9" s="162"/>
      <c r="K9" s="162"/>
      <c r="L9" s="162"/>
    </row>
    <row r="10" spans="1:19">
      <c r="A10" s="131" t="s">
        <v>6215</v>
      </c>
      <c r="F10" s="132" t="s">
        <v>1162</v>
      </c>
      <c r="G10" s="489" t="s">
        <v>6819</v>
      </c>
      <c r="I10" s="162"/>
      <c r="J10" s="162"/>
      <c r="K10" s="162"/>
      <c r="L10" s="162"/>
    </row>
    <row r="11" spans="1:19">
      <c r="A11" s="131" t="s">
        <v>4835</v>
      </c>
      <c r="F11" s="132" t="s">
        <v>1163</v>
      </c>
      <c r="G11" s="489" t="s">
        <v>1094</v>
      </c>
      <c r="I11" s="162"/>
      <c r="J11" s="162"/>
      <c r="K11" s="162"/>
      <c r="L11" s="162"/>
      <c r="M11" s="140"/>
      <c r="N11" s="305"/>
    </row>
    <row r="12" spans="1:19">
      <c r="A12" s="131" t="s">
        <v>4836</v>
      </c>
      <c r="F12" s="132" t="s">
        <v>1096</v>
      </c>
      <c r="G12" s="486" t="s">
        <v>6834</v>
      </c>
      <c r="I12" s="162"/>
      <c r="J12" s="162"/>
      <c r="K12" s="162"/>
      <c r="L12" s="162"/>
      <c r="M12" s="158" t="s">
        <v>3208</v>
      </c>
      <c r="N12" s="306" t="s">
        <v>3508</v>
      </c>
      <c r="O12" s="131" t="s">
        <v>3509</v>
      </c>
      <c r="R12" s="131">
        <v>380</v>
      </c>
    </row>
    <row r="13" spans="1:19">
      <c r="A13" s="131" t="s">
        <v>1287</v>
      </c>
      <c r="G13" s="488" t="s">
        <v>5914</v>
      </c>
      <c r="I13" s="162"/>
      <c r="J13" s="162"/>
      <c r="K13" s="162"/>
      <c r="L13" s="162"/>
      <c r="M13" s="158"/>
      <c r="N13" s="306"/>
      <c r="O13" s="131" t="s">
        <v>3510</v>
      </c>
    </row>
    <row r="14" spans="1:19">
      <c r="A14" s="131" t="s">
        <v>4837</v>
      </c>
      <c r="G14" s="483"/>
      <c r="I14" s="162"/>
      <c r="J14" s="162"/>
      <c r="K14" s="162"/>
      <c r="L14" s="162"/>
      <c r="M14" s="158"/>
      <c r="N14" s="306"/>
    </row>
    <row r="15" spans="1:19">
      <c r="I15" s="162"/>
      <c r="J15" s="162"/>
      <c r="K15" s="162"/>
      <c r="L15" s="162"/>
      <c r="M15" s="158" t="s">
        <v>3433</v>
      </c>
      <c r="N15" s="306" t="s">
        <v>3511</v>
      </c>
      <c r="O15" s="131" t="s">
        <v>3512</v>
      </c>
      <c r="R15" s="131">
        <v>900</v>
      </c>
    </row>
    <row r="16" spans="1:19" s="95" customFormat="1" ht="20.100000000000001" customHeight="1">
      <c r="A16" s="90" t="s">
        <v>1113</v>
      </c>
      <c r="B16" s="91" t="s">
        <v>1114</v>
      </c>
      <c r="C16" s="91"/>
      <c r="D16" s="92" t="s">
        <v>14</v>
      </c>
      <c r="E16" s="92"/>
      <c r="F16" s="90"/>
      <c r="G16" s="93"/>
      <c r="H16" s="94" t="s">
        <v>13</v>
      </c>
      <c r="I16" s="412"/>
      <c r="J16" s="412"/>
      <c r="K16" s="412"/>
      <c r="L16" s="412"/>
      <c r="M16" s="158"/>
      <c r="N16" s="306"/>
      <c r="O16" s="131"/>
      <c r="P16" s="131"/>
      <c r="Q16" s="131"/>
      <c r="R16" s="131"/>
      <c r="S16" s="131"/>
    </row>
    <row r="17" spans="1:18">
      <c r="I17" s="162"/>
      <c r="J17" s="162"/>
      <c r="K17" s="162"/>
      <c r="L17" s="162"/>
      <c r="M17" s="158" t="s">
        <v>3433</v>
      </c>
      <c r="N17" s="306" t="s">
        <v>3513</v>
      </c>
      <c r="O17" s="131" t="s">
        <v>3514</v>
      </c>
      <c r="R17" s="131">
        <v>900</v>
      </c>
    </row>
    <row r="18" spans="1:18" ht="12.75" customHeight="1">
      <c r="A18" s="162"/>
      <c r="D18" s="482" t="s">
        <v>6822</v>
      </c>
      <c r="E18" s="110"/>
      <c r="I18" s="162"/>
      <c r="J18" s="162"/>
      <c r="K18" s="162"/>
      <c r="L18" s="162"/>
      <c r="M18" s="158"/>
      <c r="N18" s="305"/>
    </row>
    <row r="19" spans="1:18">
      <c r="A19" s="162"/>
      <c r="D19" s="482" t="s">
        <v>6823</v>
      </c>
      <c r="E19" s="110"/>
      <c r="I19" s="162"/>
      <c r="J19" s="162"/>
      <c r="K19" s="162"/>
      <c r="L19" s="162"/>
      <c r="M19" s="140"/>
      <c r="N19" s="305"/>
    </row>
    <row r="20" spans="1:18">
      <c r="D20" s="482"/>
      <c r="J20" s="162"/>
      <c r="K20" s="162"/>
      <c r="L20" s="162"/>
      <c r="O20" s="110" t="s">
        <v>3230</v>
      </c>
    </row>
    <row r="21" spans="1:18">
      <c r="A21" s="165" t="s">
        <v>6801</v>
      </c>
      <c r="B21" s="492" t="s">
        <v>6835</v>
      </c>
      <c r="C21" s="158"/>
      <c r="D21" s="131" t="s">
        <v>6836</v>
      </c>
      <c r="H21" s="131">
        <f>787.16+858.84</f>
        <v>1646</v>
      </c>
      <c r="I21" s="162"/>
      <c r="J21" s="162"/>
      <c r="K21" s="162"/>
      <c r="L21" s="162"/>
    </row>
    <row r="22" spans="1:18">
      <c r="A22" s="165"/>
      <c r="B22" s="158"/>
      <c r="C22" s="158"/>
      <c r="D22" s="131" t="s">
        <v>2880</v>
      </c>
      <c r="H22" s="131">
        <v>104</v>
      </c>
      <c r="I22" s="162"/>
      <c r="J22" s="162"/>
      <c r="K22" s="162"/>
      <c r="L22" s="162"/>
      <c r="M22" s="158" t="s">
        <v>3896</v>
      </c>
      <c r="N22" s="158" t="s">
        <v>3897</v>
      </c>
      <c r="O22" s="131" t="s">
        <v>3898</v>
      </c>
      <c r="R22" s="131">
        <v>900</v>
      </c>
    </row>
    <row r="23" spans="1:18">
      <c r="A23" s="165"/>
      <c r="B23" s="141"/>
      <c r="C23" s="141"/>
      <c r="I23" s="149"/>
      <c r="J23" s="162"/>
      <c r="K23" s="162"/>
      <c r="L23" s="162"/>
    </row>
    <row r="24" spans="1:18">
      <c r="A24" s="165"/>
      <c r="B24" s="158"/>
      <c r="C24" s="158"/>
      <c r="I24" s="162"/>
      <c r="J24" s="162"/>
      <c r="K24" s="162"/>
      <c r="L24" s="162"/>
      <c r="M24" s="158" t="s">
        <v>3899</v>
      </c>
      <c r="N24" s="141" t="s">
        <v>3900</v>
      </c>
      <c r="O24" s="131" t="s">
        <v>3901</v>
      </c>
      <c r="R24" s="131">
        <v>480</v>
      </c>
    </row>
    <row r="25" spans="1:18">
      <c r="A25" s="162"/>
      <c r="D25" s="410"/>
      <c r="E25" s="410"/>
      <c r="I25" s="162"/>
      <c r="J25" s="162"/>
      <c r="K25" s="162"/>
      <c r="L25" s="162"/>
      <c r="O25" s="131" t="s">
        <v>3902</v>
      </c>
    </row>
    <row r="26" spans="1:18">
      <c r="A26" s="162"/>
      <c r="I26" s="162"/>
      <c r="J26" s="162"/>
      <c r="K26" s="162"/>
      <c r="L26" s="162"/>
      <c r="O26" s="110" t="s">
        <v>3096</v>
      </c>
    </row>
    <row r="27" spans="1:18">
      <c r="A27" s="162"/>
      <c r="I27" s="162"/>
      <c r="J27" s="162"/>
      <c r="K27" s="162"/>
      <c r="L27" s="162"/>
    </row>
    <row r="28" spans="1:18">
      <c r="A28" s="165"/>
      <c r="B28" s="158"/>
      <c r="C28" s="158"/>
      <c r="I28" s="162"/>
      <c r="J28" s="162"/>
      <c r="K28" s="162"/>
      <c r="L28" s="162"/>
      <c r="O28" s="131" t="s">
        <v>4492</v>
      </c>
      <c r="R28" s="131">
        <v>450</v>
      </c>
    </row>
    <row r="29" spans="1:18">
      <c r="A29" s="162"/>
      <c r="I29" s="162"/>
      <c r="J29" s="162"/>
      <c r="K29" s="162"/>
      <c r="L29" s="162"/>
      <c r="O29" s="131" t="s">
        <v>4493</v>
      </c>
      <c r="R29" s="131">
        <f>R28*6%</f>
        <v>27</v>
      </c>
    </row>
    <row r="30" spans="1:18" s="488" customFormat="1">
      <c r="A30" s="162"/>
      <c r="I30" s="162"/>
      <c r="J30" s="162"/>
      <c r="K30" s="162"/>
      <c r="L30" s="162"/>
    </row>
    <row r="31" spans="1:18" s="488" customFormat="1">
      <c r="A31" s="162"/>
      <c r="I31" s="162"/>
      <c r="J31" s="162"/>
      <c r="K31" s="162"/>
      <c r="L31" s="162"/>
    </row>
    <row r="32" spans="1:18">
      <c r="A32" s="165"/>
      <c r="B32" s="306"/>
      <c r="C32" s="306"/>
      <c r="O32" s="131" t="s">
        <v>1814</v>
      </c>
    </row>
    <row r="33" spans="1:18">
      <c r="A33" s="162"/>
      <c r="B33" s="140"/>
      <c r="C33" s="140"/>
    </row>
    <row r="34" spans="1:18">
      <c r="A34" s="162"/>
      <c r="O34" s="131" t="s">
        <v>4491</v>
      </c>
      <c r="R34" s="131">
        <v>450</v>
      </c>
    </row>
    <row r="35" spans="1:18" ht="13.5" thickBot="1">
      <c r="H35" s="164">
        <f>SUM(H18:H34)</f>
        <v>1750</v>
      </c>
      <c r="O35" s="131" t="s">
        <v>1814</v>
      </c>
      <c r="R35" s="131">
        <f>R34*6%</f>
        <v>27</v>
      </c>
    </row>
    <row r="36" spans="1:18" ht="13.5" thickTop="1"/>
    <row r="37" spans="1:18" ht="20.100000000000001" customHeight="1">
      <c r="A37" s="13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Seven Hundred Fifty and NO/100 -----------</v>
      </c>
      <c r="C37" s="204"/>
      <c r="D37" s="139"/>
      <c r="E37" s="139"/>
      <c r="F37" s="139"/>
      <c r="G37" s="139"/>
      <c r="H37" s="139"/>
    </row>
    <row r="38" spans="1:18">
      <c r="A38" s="140"/>
      <c r="M38" s="158" t="s">
        <v>4609</v>
      </c>
      <c r="N38" s="158" t="s">
        <v>4610</v>
      </c>
      <c r="O38" s="131" t="s">
        <v>4611</v>
      </c>
      <c r="R38" s="131">
        <v>450</v>
      </c>
    </row>
    <row r="39" spans="1:18" ht="25.5">
      <c r="A39" s="143" t="s">
        <v>10</v>
      </c>
      <c r="F39" s="283" t="s">
        <v>2894</v>
      </c>
      <c r="G39" s="284"/>
      <c r="H39" s="285"/>
      <c r="O39" s="131" t="s">
        <v>1814</v>
      </c>
      <c r="R39" s="131">
        <f>R38*6%</f>
        <v>27</v>
      </c>
    </row>
    <row r="40" spans="1:18">
      <c r="A40" s="143"/>
      <c r="M40" s="158"/>
      <c r="N40" s="141"/>
    </row>
    <row r="41" spans="1:18">
      <c r="A41" s="143"/>
      <c r="F41" s="291"/>
      <c r="G41" s="291"/>
      <c r="H41" s="291"/>
      <c r="M41" s="158" t="s">
        <v>4612</v>
      </c>
      <c r="N41" s="158" t="s">
        <v>4613</v>
      </c>
      <c r="O41" s="131" t="s">
        <v>4614</v>
      </c>
      <c r="R41" s="131">
        <v>450</v>
      </c>
    </row>
    <row r="42" spans="1:18">
      <c r="A42" s="143"/>
      <c r="D42" s="141"/>
      <c r="E42" s="141"/>
      <c r="F42" s="286"/>
      <c r="G42" s="287"/>
      <c r="H42" s="287"/>
      <c r="M42" s="158"/>
      <c r="N42" s="158"/>
      <c r="O42" s="131" t="s">
        <v>1814</v>
      </c>
      <c r="R42" s="131">
        <f>R41*6%</f>
        <v>27</v>
      </c>
    </row>
    <row r="43" spans="1:18">
      <c r="A43" s="142"/>
      <c r="B43" s="142"/>
      <c r="C43" s="445"/>
    </row>
    <row r="44" spans="1:18">
      <c r="A44" s="143"/>
      <c r="M44" s="158" t="s">
        <v>4612</v>
      </c>
      <c r="N44" s="158" t="s">
        <v>4617</v>
      </c>
      <c r="O44" s="131" t="s">
        <v>4615</v>
      </c>
      <c r="R44" s="131">
        <v>450</v>
      </c>
    </row>
    <row r="45" spans="1:18">
      <c r="A45" s="143" t="s">
        <v>8</v>
      </c>
      <c r="D45" s="143" t="s">
        <v>8</v>
      </c>
      <c r="F45" s="143" t="s">
        <v>7</v>
      </c>
      <c r="H45" s="144"/>
      <c r="O45" s="131" t="s">
        <v>4616</v>
      </c>
    </row>
    <row r="46" spans="1:18">
      <c r="A46" s="143"/>
      <c r="D46" s="143"/>
      <c r="O46" s="131" t="s">
        <v>1814</v>
      </c>
      <c r="R46" s="131">
        <f>R44*6%</f>
        <v>27</v>
      </c>
    </row>
    <row r="47" spans="1:18">
      <c r="A47" s="143"/>
      <c r="D47" s="143"/>
    </row>
    <row r="48" spans="1:18">
      <c r="A48" s="143"/>
      <c r="D48" s="143"/>
    </row>
    <row r="49" spans="1:18">
      <c r="A49" s="248"/>
      <c r="B49" s="142"/>
      <c r="C49" s="445"/>
      <c r="D49" s="248"/>
      <c r="F49" s="142"/>
      <c r="G49" s="142"/>
      <c r="H49" s="142"/>
    </row>
    <row r="50" spans="1:18" s="147" customFormat="1" ht="17.100000000000001" customHeight="1">
      <c r="A50" s="143" t="s">
        <v>2948</v>
      </c>
      <c r="B50" s="146"/>
      <c r="C50" s="146"/>
      <c r="D50" s="143" t="s">
        <v>103</v>
      </c>
      <c r="F50" s="147" t="s">
        <v>3</v>
      </c>
    </row>
    <row r="51" spans="1:18">
      <c r="A51" s="143"/>
      <c r="F51" s="131" t="s">
        <v>2</v>
      </c>
      <c r="O51" s="110" t="s">
        <v>4157</v>
      </c>
    </row>
    <row r="52" spans="1:18">
      <c r="A52" s="143"/>
    </row>
    <row r="53" spans="1:18">
      <c r="F53" s="110" t="s">
        <v>1</v>
      </c>
      <c r="O53" s="131" t="s">
        <v>4733</v>
      </c>
      <c r="R53" s="131">
        <v>480</v>
      </c>
    </row>
    <row r="54" spans="1:18">
      <c r="F54" s="110" t="s">
        <v>0</v>
      </c>
      <c r="O54" s="131" t="s">
        <v>4734</v>
      </c>
    </row>
    <row r="55" spans="1:18">
      <c r="O55" s="131" t="s">
        <v>1814</v>
      </c>
      <c r="R55" s="131">
        <f>R53*6%</f>
        <v>28.799999999999997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3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F00-000000000000}">
  <sheetPr codeName="Sheet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854</v>
      </c>
    </row>
    <row r="10" spans="1:6">
      <c r="A10" s="1" t="s">
        <v>853</v>
      </c>
      <c r="D10" s="21" t="s">
        <v>21</v>
      </c>
      <c r="E10" s="21" t="s">
        <v>452</v>
      </c>
    </row>
    <row r="11" spans="1:6">
      <c r="A11" s="1" t="s">
        <v>852</v>
      </c>
      <c r="D11" s="21" t="s">
        <v>19</v>
      </c>
      <c r="E11" s="21" t="s">
        <v>18</v>
      </c>
    </row>
    <row r="12" spans="1:6">
      <c r="A12" s="1" t="s">
        <v>851</v>
      </c>
      <c r="D12" s="21" t="s">
        <v>17</v>
      </c>
      <c r="E12" s="21" t="s">
        <v>850</v>
      </c>
    </row>
    <row r="13" spans="1:6">
      <c r="A13" s="1" t="s">
        <v>849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20" spans="1:6">
      <c r="C20" s="14" t="s">
        <v>848</v>
      </c>
    </row>
    <row r="21" spans="1:6">
      <c r="C21" s="14" t="s">
        <v>847</v>
      </c>
    </row>
    <row r="22" spans="1:6">
      <c r="C22" s="13"/>
    </row>
    <row r="23" spans="1:6">
      <c r="A23" s="8"/>
      <c r="C23" s="13"/>
    </row>
    <row r="24" spans="1:6">
      <c r="C24" s="1" t="s">
        <v>846</v>
      </c>
      <c r="F24" s="1">
        <v>1200</v>
      </c>
    </row>
    <row r="27" spans="1:6">
      <c r="A27" s="8"/>
      <c r="C27" s="13"/>
    </row>
    <row r="28" spans="1:6">
      <c r="C28" s="13"/>
    </row>
    <row r="29" spans="1:6">
      <c r="B29" s="8"/>
    </row>
    <row r="30" spans="1:6">
      <c r="B30" s="8"/>
    </row>
    <row r="31" spans="1:6">
      <c r="B31" s="8"/>
    </row>
    <row r="33" spans="1:6" ht="13.5" thickBot="1">
      <c r="F33" s="12">
        <f>SUM(F20:F32)</f>
        <v>1200</v>
      </c>
    </row>
    <row r="34" spans="1:6" ht="13.5" thickTop="1"/>
    <row r="35" spans="1:6" ht="20.100000000000001" customHeight="1">
      <c r="A35" s="10" t="s">
        <v>845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1-000000000000}">
  <sheetPr codeName="Sheet8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632</v>
      </c>
    </row>
    <row r="10" spans="1:6">
      <c r="D10" s="21" t="s">
        <v>21</v>
      </c>
      <c r="E10" s="21" t="s">
        <v>630</v>
      </c>
    </row>
    <row r="11" spans="1:6">
      <c r="D11" s="21" t="s">
        <v>19</v>
      </c>
      <c r="E11" s="21" t="s">
        <v>18</v>
      </c>
    </row>
    <row r="12" spans="1:6">
      <c r="D12" s="21" t="s">
        <v>17</v>
      </c>
      <c r="E12" s="20" t="s">
        <v>627</v>
      </c>
    </row>
    <row r="17" spans="1:6" s="85" customFormat="1" ht="20.100000000000001" customHeight="1">
      <c r="A17" s="53" t="s">
        <v>15</v>
      </c>
      <c r="B17" s="53"/>
      <c r="C17" s="54" t="s">
        <v>14</v>
      </c>
      <c r="D17" s="53"/>
      <c r="E17" s="52"/>
      <c r="F17" s="51" t="s">
        <v>13</v>
      </c>
    </row>
    <row r="21" spans="1:6">
      <c r="C21" s="14" t="s">
        <v>857</v>
      </c>
    </row>
    <row r="22" spans="1:6">
      <c r="C22" s="14" t="s">
        <v>856</v>
      </c>
    </row>
    <row r="23" spans="1:6">
      <c r="C23" s="13"/>
    </row>
    <row r="25" spans="1:6">
      <c r="C25" s="13" t="s">
        <v>855</v>
      </c>
      <c r="F25" s="1">
        <v>3000</v>
      </c>
    </row>
    <row r="26" spans="1:6">
      <c r="C26" s="8"/>
    </row>
    <row r="33" spans="1:6" ht="13.5" thickBot="1">
      <c r="F33" s="12">
        <f>SUM(F20:F32)</f>
        <v>3000</v>
      </c>
    </row>
    <row r="34" spans="1:6" ht="13.5" thickTop="1"/>
    <row r="35" spans="1:6" ht="20.100000000000001" customHeight="1">
      <c r="A35" s="11" t="s">
        <v>188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1-000000000000}">
  <sheetPr codeName="Sheet9">
    <pageSetUpPr fitToPage="1"/>
  </sheetPr>
  <dimension ref="A1:F50"/>
  <sheetViews>
    <sheetView topLeftCell="A4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872</v>
      </c>
    </row>
    <row r="10" spans="1:6">
      <c r="A10" s="1" t="s">
        <v>871</v>
      </c>
      <c r="D10" s="21" t="s">
        <v>21</v>
      </c>
      <c r="E10" s="21" t="s">
        <v>870</v>
      </c>
    </row>
    <row r="11" spans="1:6">
      <c r="A11" s="1" t="s">
        <v>869</v>
      </c>
      <c r="D11" s="21" t="s">
        <v>19</v>
      </c>
      <c r="E11" s="21" t="s">
        <v>18</v>
      </c>
    </row>
    <row r="12" spans="1:6">
      <c r="A12" s="1" t="s">
        <v>868</v>
      </c>
      <c r="D12" s="21" t="s">
        <v>17</v>
      </c>
      <c r="E12" s="21" t="s">
        <v>867</v>
      </c>
    </row>
    <row r="13" spans="1:6">
      <c r="A13" s="1" t="s">
        <v>866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1:6">
      <c r="C19" s="13"/>
    </row>
    <row r="20" spans="1:6">
      <c r="C20" s="14" t="s">
        <v>865</v>
      </c>
    </row>
    <row r="21" spans="1:6">
      <c r="C21" s="44" t="s">
        <v>864</v>
      </c>
    </row>
    <row r="22" spans="1:6">
      <c r="C22" s="13"/>
    </row>
    <row r="23" spans="1:6">
      <c r="A23" s="1" t="s">
        <v>863</v>
      </c>
      <c r="C23" s="1" t="s">
        <v>862</v>
      </c>
      <c r="F23" s="1">
        <v>119824</v>
      </c>
    </row>
    <row r="24" spans="1:6">
      <c r="C24" s="1" t="s">
        <v>861</v>
      </c>
    </row>
    <row r="25" spans="1:6">
      <c r="C25" s="13"/>
    </row>
    <row r="26" spans="1:6">
      <c r="C26" s="13" t="s">
        <v>860</v>
      </c>
      <c r="F26" s="1">
        <v>-12784</v>
      </c>
    </row>
    <row r="27" spans="1:6">
      <c r="C27" s="13"/>
      <c r="F27" s="14"/>
    </row>
    <row r="28" spans="1:6">
      <c r="B28" s="8"/>
      <c r="C28" s="1" t="s">
        <v>859</v>
      </c>
      <c r="F28" s="1">
        <v>-7540</v>
      </c>
    </row>
    <row r="29" spans="1:6">
      <c r="B29" s="8"/>
    </row>
    <row r="31" spans="1:6" ht="13.5" thickBot="1">
      <c r="F31" s="33">
        <f>SUM(F19:F30)</f>
        <v>99500</v>
      </c>
    </row>
    <row r="32" spans="1:6" ht="13.5" thickTop="1"/>
    <row r="33" spans="1:6" ht="20.100000000000001" customHeight="1" thickBot="1">
      <c r="A33" s="10" t="s">
        <v>858</v>
      </c>
      <c r="B33" s="10"/>
      <c r="C33" s="9"/>
      <c r="D33" s="9"/>
      <c r="E33" s="9"/>
      <c r="F33" s="12">
        <f>SUM(F20:F32)</f>
        <v>199000</v>
      </c>
    </row>
    <row r="34" spans="1:6" ht="13.5" thickTop="1">
      <c r="A34" s="8"/>
    </row>
    <row r="35" spans="1:6">
      <c r="A35" s="1" t="s">
        <v>10</v>
      </c>
    </row>
    <row r="38" spans="1:6">
      <c r="A38" s="1" t="s">
        <v>9</v>
      </c>
      <c r="C38" s="7"/>
    </row>
    <row r="39" spans="1:6" ht="25.5">
      <c r="A39" s="3"/>
      <c r="D39" s="265" t="s">
        <v>2894</v>
      </c>
      <c r="E39" s="266"/>
      <c r="F39" s="267"/>
    </row>
    <row r="41" spans="1:6">
      <c r="A41" s="6" t="s">
        <v>8</v>
      </c>
      <c r="D41" s="6" t="s">
        <v>7</v>
      </c>
      <c r="F41" s="5"/>
    </row>
    <row r="45" spans="1:6">
      <c r="A45" s="1" t="s">
        <v>6</v>
      </c>
      <c r="D45" s="1" t="s">
        <v>5</v>
      </c>
    </row>
    <row r="46" spans="1:6" s="3" customFormat="1" ht="17.100000000000001" customHeight="1">
      <c r="A46" s="4" t="s">
        <v>4</v>
      </c>
      <c r="B46" s="4"/>
      <c r="D46" s="3" t="s">
        <v>3</v>
      </c>
    </row>
    <row r="47" spans="1:6">
      <c r="D47" s="1" t="s">
        <v>2</v>
      </c>
    </row>
    <row r="49" spans="1:4">
      <c r="D49" s="84" t="s">
        <v>1</v>
      </c>
    </row>
    <row r="50" spans="1:4">
      <c r="A50" s="273" t="s">
        <v>2948</v>
      </c>
      <c r="D50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1-000000000000}">
  <sheetPr codeName="Sheet10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882</v>
      </c>
    </row>
    <row r="10" spans="1:6">
      <c r="A10" s="1" t="s">
        <v>881</v>
      </c>
      <c r="D10" s="21" t="s">
        <v>21</v>
      </c>
      <c r="E10" s="21" t="s">
        <v>880</v>
      </c>
    </row>
    <row r="11" spans="1:6">
      <c r="A11" s="1" t="s">
        <v>879</v>
      </c>
      <c r="D11" s="21" t="s">
        <v>19</v>
      </c>
      <c r="E11" s="21" t="s">
        <v>18</v>
      </c>
    </row>
    <row r="12" spans="1:6">
      <c r="A12" s="1" t="s">
        <v>878</v>
      </c>
      <c r="D12" s="21" t="s">
        <v>17</v>
      </c>
      <c r="E12" s="21" t="s">
        <v>877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1:6">
      <c r="C19" s="44" t="s">
        <v>876</v>
      </c>
    </row>
    <row r="20" spans="1:6">
      <c r="C20" s="14" t="s">
        <v>875</v>
      </c>
    </row>
    <row r="21" spans="1:6">
      <c r="C21" s="13"/>
    </row>
    <row r="23" spans="1:6">
      <c r="A23" s="1" t="s">
        <v>874</v>
      </c>
      <c r="C23" s="1" t="s">
        <v>389</v>
      </c>
      <c r="F23" s="1">
        <v>50000</v>
      </c>
    </row>
    <row r="24" spans="1:6">
      <c r="C24" s="13"/>
    </row>
    <row r="26" spans="1:6">
      <c r="C26" s="13"/>
      <c r="F26" s="14"/>
    </row>
    <row r="27" spans="1:6">
      <c r="B27" s="8"/>
    </row>
    <row r="28" spans="1:6">
      <c r="B28" s="8"/>
    </row>
    <row r="30" spans="1:6" ht="13.5" thickBot="1">
      <c r="F30" s="33">
        <f>SUM(F19:F29)</f>
        <v>50000</v>
      </c>
    </row>
    <row r="31" spans="1:6" ht="13.5" thickTop="1"/>
    <row r="32" spans="1:6" ht="20.100000000000001" customHeight="1">
      <c r="A32" s="10" t="s">
        <v>873</v>
      </c>
      <c r="B32" s="10"/>
      <c r="C32" s="9"/>
      <c r="D32" s="9"/>
      <c r="E32" s="9"/>
    </row>
    <row r="33" spans="1:6" ht="13.5" thickBot="1">
      <c r="A33" s="8"/>
      <c r="F33" s="260">
        <f>SUM(F20:F32)</f>
        <v>100000</v>
      </c>
    </row>
    <row r="34" spans="1:6" ht="13.5" thickTop="1">
      <c r="A34" s="1" t="s">
        <v>10</v>
      </c>
    </row>
    <row r="37" spans="1:6">
      <c r="A37" s="1" t="s">
        <v>9</v>
      </c>
      <c r="C37" s="7"/>
    </row>
    <row r="39" spans="1:6" ht="25.5">
      <c r="A39" s="3"/>
      <c r="D39" s="265" t="s">
        <v>2894</v>
      </c>
      <c r="E39" s="266"/>
      <c r="F39" s="267"/>
    </row>
    <row r="40" spans="1:6">
      <c r="A40" s="6" t="s">
        <v>8</v>
      </c>
      <c r="D40" s="6" t="s">
        <v>7</v>
      </c>
      <c r="F40" s="5"/>
    </row>
    <row r="44" spans="1:6">
      <c r="A44" s="1" t="s">
        <v>6</v>
      </c>
      <c r="D44" s="1" t="s">
        <v>5</v>
      </c>
    </row>
    <row r="45" spans="1:6" s="3" customFormat="1" ht="17.100000000000001" customHeight="1">
      <c r="A45" s="4" t="s">
        <v>4</v>
      </c>
      <c r="B45" s="4"/>
      <c r="D45" s="3" t="s">
        <v>3</v>
      </c>
    </row>
    <row r="46" spans="1:6">
      <c r="D46" s="1" t="s">
        <v>2</v>
      </c>
    </row>
    <row r="48" spans="1:6">
      <c r="D48" s="84" t="s">
        <v>1</v>
      </c>
    </row>
    <row r="49" spans="1:4">
      <c r="D49" s="84" t="s">
        <v>0</v>
      </c>
    </row>
    <row r="50" spans="1:4">
      <c r="A50" s="273" t="s">
        <v>2948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1-000000000000}">
  <sheetPr codeName="Sheet11">
    <pageSetUpPr fitToPage="1"/>
  </sheetPr>
  <dimension ref="A1:F53"/>
  <sheetViews>
    <sheetView workbookViewId="0">
      <selection activeCell="G9" sqref="G9:G13"/>
    </sheetView>
  </sheetViews>
  <sheetFormatPr defaultRowHeight="12.75"/>
  <cols>
    <col min="1" max="1" width="15.42578125" style="111" customWidth="1"/>
    <col min="2" max="2" width="14.5703125" style="111" customWidth="1"/>
    <col min="3" max="3" width="23" style="111" customWidth="1"/>
    <col min="4" max="4" width="12.85546875" style="111" customWidth="1"/>
    <col min="5" max="5" width="8.85546875" style="111" customWidth="1"/>
    <col min="6" max="6" width="13.57031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31" t="s">
        <v>3252</v>
      </c>
    </row>
    <row r="10" spans="1:6">
      <c r="A10" s="111" t="s">
        <v>1184</v>
      </c>
      <c r="D10" s="112" t="s">
        <v>1162</v>
      </c>
      <c r="E10" s="143" t="s">
        <v>3240</v>
      </c>
    </row>
    <row r="11" spans="1:6">
      <c r="A11" s="111" t="s">
        <v>1185</v>
      </c>
      <c r="D11" s="112" t="s">
        <v>1187</v>
      </c>
      <c r="E11" s="132" t="s">
        <v>1094</v>
      </c>
    </row>
    <row r="12" spans="1:6">
      <c r="A12" s="111" t="s">
        <v>1186</v>
      </c>
      <c r="D12" s="112" t="s">
        <v>1188</v>
      </c>
      <c r="E12" s="140" t="s">
        <v>3253</v>
      </c>
    </row>
    <row r="13" spans="1:6">
      <c r="A13" s="111" t="s">
        <v>2344</v>
      </c>
      <c r="E13" s="131"/>
    </row>
    <row r="14" spans="1:6">
      <c r="A14" s="111" t="s">
        <v>2345</v>
      </c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8" spans="1:6">
      <c r="C18" s="2" t="s">
        <v>3243</v>
      </c>
    </row>
    <row r="19" spans="1:6">
      <c r="C19" s="2"/>
    </row>
    <row r="20" spans="1:6">
      <c r="A20" s="116" t="s">
        <v>3254</v>
      </c>
      <c r="B20" s="116" t="s">
        <v>3255</v>
      </c>
      <c r="C20" s="120" t="s">
        <v>3256</v>
      </c>
      <c r="F20" s="111">
        <v>150</v>
      </c>
    </row>
    <row r="22" spans="1:6">
      <c r="C22" s="2"/>
    </row>
    <row r="23" spans="1:6">
      <c r="C23" s="2"/>
    </row>
    <row r="24" spans="1:6">
      <c r="A24" s="116"/>
      <c r="B24" s="116"/>
      <c r="C24" s="120"/>
    </row>
    <row r="25" spans="1:6">
      <c r="C25" s="2"/>
    </row>
    <row r="26" spans="1:6">
      <c r="C26" s="2"/>
    </row>
    <row r="27" spans="1:6">
      <c r="C27" s="2"/>
    </row>
    <row r="28" spans="1:6">
      <c r="A28" s="116"/>
      <c r="B28" s="116"/>
      <c r="C28" s="120"/>
    </row>
    <row r="31" spans="1:6">
      <c r="B31" s="120"/>
    </row>
    <row r="32" spans="1:6">
      <c r="A32" s="116"/>
      <c r="B32" s="116"/>
      <c r="C32" s="120"/>
    </row>
    <row r="34" spans="1:6" ht="13.5" thickBot="1">
      <c r="F34" s="127">
        <f>SUM(F19:F33)</f>
        <v>150</v>
      </c>
    </row>
    <row r="35" spans="1:6" ht="13.5" thickTop="1"/>
    <row r="36" spans="1:6" ht="20.100000000000001" customHeight="1">
      <c r="A36" s="118" t="s">
        <v>204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Hundred Fifty and NO/100 -----------</v>
      </c>
      <c r="C36" s="119"/>
      <c r="D36" s="119"/>
      <c r="E36" s="119"/>
      <c r="F36" s="261"/>
    </row>
    <row r="37" spans="1:6">
      <c r="A37" s="120"/>
      <c r="F37" s="263"/>
    </row>
    <row r="38" spans="1:6">
      <c r="A38" s="111" t="s">
        <v>10</v>
      </c>
    </row>
    <row r="39" spans="1:6" ht="25.5">
      <c r="A39" s="126"/>
      <c r="D39" s="265" t="s">
        <v>2894</v>
      </c>
      <c r="E39" s="266"/>
      <c r="F39" s="267"/>
    </row>
    <row r="41" spans="1:6">
      <c r="C41" s="121"/>
    </row>
    <row r="42" spans="1:6">
      <c r="A42" s="122"/>
      <c r="B42" s="122"/>
    </row>
    <row r="43" spans="1:6">
      <c r="D43" s="123" t="s">
        <v>7</v>
      </c>
    </row>
    <row r="44" spans="1:6">
      <c r="A44" s="123" t="s">
        <v>8</v>
      </c>
      <c r="F44" s="124"/>
    </row>
    <row r="48" spans="1:6">
      <c r="A48" s="122"/>
      <c r="B48" s="122"/>
      <c r="D48" s="122"/>
      <c r="E48" s="122"/>
      <c r="F48" s="122"/>
    </row>
    <row r="49" spans="1:4" s="126" customFormat="1" ht="17.100000000000001" customHeight="1">
      <c r="A49" s="151" t="s">
        <v>2948</v>
      </c>
      <c r="B49" s="125"/>
      <c r="D49" s="126" t="s">
        <v>3</v>
      </c>
    </row>
    <row r="50" spans="1:4">
      <c r="A50" s="151"/>
      <c r="D50" s="111" t="s">
        <v>2</v>
      </c>
    </row>
    <row r="52" spans="1:4">
      <c r="D52" s="2" t="s">
        <v>1</v>
      </c>
    </row>
    <row r="53" spans="1:4">
      <c r="D53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3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1-000000000000}">
  <sheetPr codeName="Sheet33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889</v>
      </c>
    </row>
    <row r="10" spans="1:6">
      <c r="A10" s="13" t="s">
        <v>888</v>
      </c>
      <c r="D10" s="21" t="s">
        <v>21</v>
      </c>
      <c r="E10" s="21" t="s">
        <v>20</v>
      </c>
    </row>
    <row r="11" spans="1:6">
      <c r="A11" s="13" t="s">
        <v>887</v>
      </c>
      <c r="D11" s="21" t="s">
        <v>19</v>
      </c>
      <c r="E11" s="21" t="s">
        <v>18</v>
      </c>
    </row>
    <row r="12" spans="1:6">
      <c r="A12" s="13" t="s">
        <v>87</v>
      </c>
      <c r="D12" s="21" t="s">
        <v>17</v>
      </c>
      <c r="E12" s="21" t="s">
        <v>886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1:6">
      <c r="C19" s="13"/>
    </row>
    <row r="20" spans="1:6">
      <c r="A20" s="13"/>
      <c r="C20" s="14" t="s">
        <v>885</v>
      </c>
    </row>
    <row r="21" spans="1:6">
      <c r="C21" s="14" t="s">
        <v>884</v>
      </c>
    </row>
    <row r="22" spans="1:6">
      <c r="C22" s="13"/>
    </row>
    <row r="23" spans="1:6">
      <c r="C23" s="13"/>
    </row>
    <row r="24" spans="1:6">
      <c r="A24" s="13"/>
      <c r="C24" s="13" t="s">
        <v>244</v>
      </c>
      <c r="F24" s="1">
        <v>50000</v>
      </c>
    </row>
    <row r="25" spans="1:6">
      <c r="C25" s="13"/>
    </row>
    <row r="26" spans="1:6">
      <c r="C26" s="13"/>
      <c r="F26" s="13"/>
    </row>
    <row r="27" spans="1:6">
      <c r="B27" s="8"/>
      <c r="C27" s="13"/>
    </row>
    <row r="28" spans="1:6">
      <c r="B28" s="8"/>
    </row>
    <row r="30" spans="1:6" ht="13.5" thickBot="1">
      <c r="F30" s="33">
        <f>SUM(F19:F29)</f>
        <v>50000</v>
      </c>
    </row>
    <row r="31" spans="1:6" ht="13.5" thickTop="1"/>
    <row r="32" spans="1:6" ht="20.100000000000001" customHeight="1">
      <c r="A32" s="11" t="s">
        <v>883</v>
      </c>
      <c r="B32" s="10"/>
      <c r="C32" s="9"/>
      <c r="D32" s="9"/>
      <c r="E32" s="9"/>
    </row>
    <row r="33" spans="1:6" ht="13.5" thickBot="1">
      <c r="A33" s="8"/>
      <c r="F33" s="260">
        <f>SUM(F20:F32)</f>
        <v>100000</v>
      </c>
    </row>
    <row r="34" spans="1:6" ht="13.5" thickTop="1">
      <c r="A34" s="1" t="s">
        <v>10</v>
      </c>
    </row>
    <row r="37" spans="1:6">
      <c r="A37" s="1" t="s">
        <v>9</v>
      </c>
      <c r="C37" s="7"/>
    </row>
    <row r="39" spans="1:6" ht="25.5">
      <c r="A39" s="3"/>
      <c r="D39" s="265" t="s">
        <v>2894</v>
      </c>
      <c r="E39" s="266"/>
      <c r="F39" s="267"/>
    </row>
    <row r="40" spans="1:6">
      <c r="A40" s="6" t="s">
        <v>8</v>
      </c>
      <c r="D40" s="6" t="s">
        <v>7</v>
      </c>
      <c r="F40" s="5"/>
    </row>
    <row r="44" spans="1:6">
      <c r="A44" s="1" t="s">
        <v>6</v>
      </c>
      <c r="D44" s="1" t="s">
        <v>5</v>
      </c>
    </row>
    <row r="45" spans="1:6" s="3" customFormat="1" ht="17.100000000000001" customHeight="1">
      <c r="A45" s="4" t="s">
        <v>4</v>
      </c>
      <c r="B45" s="4"/>
      <c r="D45" s="3" t="s">
        <v>3</v>
      </c>
    </row>
    <row r="46" spans="1:6">
      <c r="D46" s="1" t="s">
        <v>2</v>
      </c>
    </row>
    <row r="48" spans="1:6">
      <c r="D48" s="84" t="s">
        <v>1</v>
      </c>
    </row>
    <row r="49" spans="1:4">
      <c r="D49" s="84" t="s">
        <v>0</v>
      </c>
    </row>
    <row r="50" spans="1:4">
      <c r="A50" s="273" t="s">
        <v>2948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1-000000000000}">
  <sheetPr codeName="Sheet34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903</v>
      </c>
    </row>
    <row r="10" spans="1:6">
      <c r="A10" s="13" t="s">
        <v>902</v>
      </c>
      <c r="D10" s="21" t="s">
        <v>21</v>
      </c>
      <c r="E10" s="21" t="s">
        <v>100</v>
      </c>
    </row>
    <row r="11" spans="1:6">
      <c r="A11" s="13" t="s">
        <v>901</v>
      </c>
      <c r="D11" s="21" t="s">
        <v>19</v>
      </c>
      <c r="E11" s="21" t="s">
        <v>18</v>
      </c>
    </row>
    <row r="12" spans="1:6">
      <c r="A12" s="13" t="s">
        <v>900</v>
      </c>
      <c r="D12" s="21" t="s">
        <v>17</v>
      </c>
      <c r="E12" s="20" t="s">
        <v>899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1:6">
      <c r="C19" s="13"/>
    </row>
    <row r="20" spans="1:6">
      <c r="A20" s="13" t="s">
        <v>893</v>
      </c>
      <c r="C20" s="13" t="s">
        <v>898</v>
      </c>
      <c r="F20" s="1">
        <v>1400</v>
      </c>
    </row>
    <row r="21" spans="1:6">
      <c r="C21" s="13" t="s">
        <v>897</v>
      </c>
    </row>
    <row r="22" spans="1:6">
      <c r="C22" s="13" t="s">
        <v>896</v>
      </c>
    </row>
    <row r="23" spans="1:6">
      <c r="A23" s="13"/>
      <c r="C23" s="13" t="s">
        <v>895</v>
      </c>
    </row>
    <row r="24" spans="1:6">
      <c r="C24" s="1" t="s">
        <v>894</v>
      </c>
    </row>
    <row r="25" spans="1:6">
      <c r="A25" s="13"/>
    </row>
    <row r="26" spans="1:6">
      <c r="A26" s="13" t="s">
        <v>893</v>
      </c>
      <c r="C26" s="13" t="s">
        <v>892</v>
      </c>
      <c r="F26" s="1">
        <v>150</v>
      </c>
    </row>
    <row r="27" spans="1:6">
      <c r="C27" s="13" t="s">
        <v>891</v>
      </c>
      <c r="F27" s="14"/>
    </row>
    <row r="28" spans="1:6">
      <c r="B28" s="8"/>
    </row>
    <row r="29" spans="1:6">
      <c r="B29" s="8"/>
    </row>
    <row r="31" spans="1:6" ht="13.5" thickBot="1">
      <c r="F31" s="33">
        <f>SUM(F19:F30)</f>
        <v>1550</v>
      </c>
    </row>
    <row r="32" spans="1:6" ht="13.5" thickTop="1"/>
    <row r="33" spans="1:6" ht="20.100000000000001" customHeight="1" thickBot="1">
      <c r="A33" s="11" t="s">
        <v>890</v>
      </c>
      <c r="B33" s="10"/>
      <c r="C33" s="9"/>
      <c r="D33" s="9"/>
      <c r="E33" s="9"/>
      <c r="F33" s="12">
        <f>SUM(F20:F32)</f>
        <v>3100</v>
      </c>
    </row>
    <row r="34" spans="1:6" ht="13.5" thickTop="1">
      <c r="A34" s="8"/>
    </row>
    <row r="35" spans="1:6">
      <c r="A35" s="1" t="s">
        <v>10</v>
      </c>
    </row>
    <row r="38" spans="1:6">
      <c r="A38" s="1" t="s">
        <v>9</v>
      </c>
      <c r="C38" s="7"/>
    </row>
    <row r="39" spans="1:6" ht="25.5">
      <c r="A39" s="3"/>
      <c r="D39" s="265" t="s">
        <v>2894</v>
      </c>
      <c r="E39" s="266"/>
      <c r="F39" s="267"/>
    </row>
    <row r="41" spans="1:6">
      <c r="A41" s="6" t="s">
        <v>8</v>
      </c>
      <c r="D41" s="6" t="s">
        <v>7</v>
      </c>
      <c r="F41" s="5"/>
    </row>
    <row r="45" spans="1:6">
      <c r="A45" s="1" t="s">
        <v>6</v>
      </c>
      <c r="D45" s="1" t="s">
        <v>5</v>
      </c>
    </row>
    <row r="46" spans="1:6" s="3" customFormat="1" ht="17.100000000000001" customHeight="1">
      <c r="A46" s="4" t="s">
        <v>4</v>
      </c>
      <c r="B46" s="4"/>
      <c r="D46" s="3" t="s">
        <v>3</v>
      </c>
    </row>
    <row r="47" spans="1:6">
      <c r="D47" s="1" t="s">
        <v>2</v>
      </c>
    </row>
    <row r="49" spans="1:4">
      <c r="D49" s="84" t="s">
        <v>1</v>
      </c>
    </row>
    <row r="50" spans="1:4">
      <c r="A50" s="273" t="s">
        <v>2948</v>
      </c>
      <c r="D50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1-000000000000}">
  <sheetPr codeName="Sheet35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927</v>
      </c>
    </row>
    <row r="10" spans="1:6">
      <c r="A10" s="1" t="s">
        <v>926</v>
      </c>
      <c r="D10" s="21" t="s">
        <v>21</v>
      </c>
      <c r="E10" s="21" t="s">
        <v>40</v>
      </c>
    </row>
    <row r="11" spans="1:6">
      <c r="A11" s="1" t="s">
        <v>925</v>
      </c>
      <c r="D11" s="21" t="s">
        <v>19</v>
      </c>
      <c r="E11" s="21" t="s">
        <v>18</v>
      </c>
    </row>
    <row r="12" spans="1:6">
      <c r="A12" s="1" t="s">
        <v>924</v>
      </c>
      <c r="D12" s="21" t="s">
        <v>17</v>
      </c>
      <c r="E12" s="20" t="s">
        <v>923</v>
      </c>
    </row>
    <row r="13" spans="1:6">
      <c r="A13" s="1" t="s">
        <v>922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8" spans="1:6">
      <c r="A18" s="1" t="s">
        <v>921</v>
      </c>
      <c r="C18" s="14" t="s">
        <v>920</v>
      </c>
    </row>
    <row r="19" spans="1:6">
      <c r="A19" s="1" t="s">
        <v>919</v>
      </c>
      <c r="C19" s="14" t="s">
        <v>918</v>
      </c>
    </row>
    <row r="21" spans="1:6">
      <c r="A21" s="1" t="s">
        <v>917</v>
      </c>
      <c r="C21" s="1" t="s">
        <v>916</v>
      </c>
      <c r="F21" s="1">
        <v>4000</v>
      </c>
    </row>
    <row r="22" spans="1:6">
      <c r="A22" s="1" t="s">
        <v>915</v>
      </c>
      <c r="C22" s="8" t="s">
        <v>914</v>
      </c>
      <c r="F22" s="1">
        <v>200</v>
      </c>
    </row>
    <row r="23" spans="1:6">
      <c r="A23" s="1" t="s">
        <v>913</v>
      </c>
      <c r="C23" s="1" t="s">
        <v>912</v>
      </c>
      <c r="F23" s="1">
        <v>4000</v>
      </c>
    </row>
    <row r="24" spans="1:6">
      <c r="A24" s="1" t="s">
        <v>911</v>
      </c>
    </row>
    <row r="25" spans="1:6">
      <c r="A25" s="1" t="s">
        <v>910</v>
      </c>
    </row>
    <row r="26" spans="1:6">
      <c r="A26" s="1" t="s">
        <v>909</v>
      </c>
    </row>
    <row r="27" spans="1:6">
      <c r="A27" s="1" t="s">
        <v>908</v>
      </c>
    </row>
    <row r="28" spans="1:6">
      <c r="A28" s="1" t="s">
        <v>907</v>
      </c>
    </row>
    <row r="29" spans="1:6">
      <c r="A29" s="1" t="s">
        <v>906</v>
      </c>
    </row>
    <row r="30" spans="1:6">
      <c r="A30" s="1" t="s">
        <v>905</v>
      </c>
    </row>
    <row r="33" spans="1:6" ht="13.5" thickBot="1">
      <c r="F33" s="12">
        <f>SUM(F20:F32)</f>
        <v>8200</v>
      </c>
    </row>
    <row r="34" spans="1:6" ht="13.5" thickTop="1"/>
    <row r="35" spans="1:6" ht="20.100000000000001" customHeight="1">
      <c r="A35" s="10" t="s">
        <v>904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1-000000000000}">
  <sheetPr codeName="Sheet36">
    <pageSetUpPr fitToPage="1"/>
  </sheetPr>
  <dimension ref="A1:F51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936</v>
      </c>
    </row>
    <row r="10" spans="1:6">
      <c r="A10" s="13" t="s">
        <v>935</v>
      </c>
      <c r="D10" s="21" t="s">
        <v>21</v>
      </c>
      <c r="E10" s="21" t="s">
        <v>934</v>
      </c>
    </row>
    <row r="11" spans="1:6">
      <c r="A11" s="13" t="s">
        <v>933</v>
      </c>
      <c r="D11" s="21" t="s">
        <v>19</v>
      </c>
      <c r="E11" s="21" t="s">
        <v>18</v>
      </c>
    </row>
    <row r="12" spans="1:6">
      <c r="A12" s="13" t="s">
        <v>932</v>
      </c>
      <c r="D12" s="21" t="s">
        <v>17</v>
      </c>
      <c r="E12" s="20" t="s">
        <v>438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1:6">
      <c r="C19" s="13"/>
    </row>
    <row r="20" spans="1:6">
      <c r="C20" s="14" t="s">
        <v>931</v>
      </c>
    </row>
    <row r="21" spans="1:6">
      <c r="C21" s="13"/>
    </row>
    <row r="24" spans="1:6">
      <c r="A24" s="13" t="s">
        <v>930</v>
      </c>
      <c r="C24" s="13" t="s">
        <v>929</v>
      </c>
      <c r="F24" s="1">
        <v>640.5</v>
      </c>
    </row>
    <row r="25" spans="1:6">
      <c r="C25" s="13"/>
    </row>
    <row r="26" spans="1:6">
      <c r="B26" s="8"/>
      <c r="C26" s="13" t="s">
        <v>410</v>
      </c>
      <c r="F26" s="1">
        <v>30</v>
      </c>
    </row>
    <row r="27" spans="1:6">
      <c r="B27" s="8"/>
    </row>
    <row r="31" spans="1:6" ht="13.5" thickBot="1">
      <c r="F31" s="12">
        <f>SUM(F18:F30)</f>
        <v>670.5</v>
      </c>
    </row>
    <row r="32" spans="1:6" ht="13.5" thickTop="1"/>
    <row r="33" spans="1:6" ht="13.5" thickBot="1">
      <c r="F33" s="12">
        <f>SUM(F20:F32)</f>
        <v>1341</v>
      </c>
    </row>
    <row r="34" spans="1:6" ht="20.100000000000001" customHeight="1" thickTop="1">
      <c r="A34" s="11" t="s">
        <v>928</v>
      </c>
      <c r="B34" s="10"/>
      <c r="C34" s="9"/>
      <c r="D34" s="9"/>
      <c r="E34" s="9"/>
      <c r="F34" s="9"/>
    </row>
    <row r="35" spans="1:6">
      <c r="A35" s="8" t="s">
        <v>11</v>
      </c>
    </row>
    <row r="36" spans="1:6">
      <c r="A36" s="1" t="s">
        <v>10</v>
      </c>
    </row>
    <row r="39" spans="1:6" ht="25.5">
      <c r="A39" s="3" t="s">
        <v>9</v>
      </c>
      <c r="C39" s="7"/>
      <c r="D39" s="265" t="s">
        <v>2894</v>
      </c>
      <c r="E39" s="266"/>
      <c r="F39" s="267"/>
    </row>
    <row r="42" spans="1:6">
      <c r="A42" s="6" t="s">
        <v>8</v>
      </c>
      <c r="D42" s="6" t="s">
        <v>7</v>
      </c>
      <c r="F42" s="5"/>
    </row>
    <row r="46" spans="1:6">
      <c r="A46" s="1" t="s">
        <v>6</v>
      </c>
      <c r="D46" s="1" t="s">
        <v>5</v>
      </c>
    </row>
    <row r="47" spans="1:6" s="3" customFormat="1" ht="17.100000000000001" customHeight="1">
      <c r="A47" s="4" t="s">
        <v>4</v>
      </c>
      <c r="B47" s="4"/>
      <c r="D47" s="3" t="s">
        <v>3</v>
      </c>
    </row>
    <row r="48" spans="1:6">
      <c r="D48" s="1" t="s">
        <v>2</v>
      </c>
    </row>
    <row r="50" spans="1:4">
      <c r="A50" s="273" t="s">
        <v>2948</v>
      </c>
      <c r="D50" s="84" t="s">
        <v>1</v>
      </c>
    </row>
    <row r="51" spans="1:4">
      <c r="D51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1-000000000000}">
  <sheetPr codeName="Sheet3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962</v>
      </c>
    </row>
    <row r="10" spans="1:6">
      <c r="A10" s="1" t="s">
        <v>961</v>
      </c>
      <c r="D10" s="21" t="s">
        <v>21</v>
      </c>
      <c r="E10" s="21" t="s">
        <v>960</v>
      </c>
    </row>
    <row r="11" spans="1:6">
      <c r="A11" s="1" t="s">
        <v>959</v>
      </c>
      <c r="D11" s="21" t="s">
        <v>19</v>
      </c>
      <c r="E11" s="21" t="s">
        <v>18</v>
      </c>
    </row>
    <row r="12" spans="1:6">
      <c r="A12" s="1" t="s">
        <v>62</v>
      </c>
      <c r="D12" s="21" t="s">
        <v>17</v>
      </c>
      <c r="E12" s="20" t="s">
        <v>958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1:6">
      <c r="C19" s="14" t="s">
        <v>957</v>
      </c>
    </row>
    <row r="20" spans="1:6">
      <c r="C20" s="14" t="s">
        <v>956</v>
      </c>
    </row>
    <row r="21" spans="1:6">
      <c r="C21" s="14" t="s">
        <v>955</v>
      </c>
    </row>
    <row r="23" spans="1:6">
      <c r="A23" s="13"/>
      <c r="C23" s="13"/>
    </row>
    <row r="24" spans="1:6">
      <c r="C24" s="13" t="s">
        <v>954</v>
      </c>
      <c r="F24" s="1">
        <v>2250</v>
      </c>
    </row>
    <row r="25" spans="1:6">
      <c r="C25" s="13"/>
    </row>
    <row r="26" spans="1:6">
      <c r="C26" s="13"/>
    </row>
    <row r="27" spans="1:6">
      <c r="C27" s="13"/>
    </row>
    <row r="29" spans="1:6">
      <c r="B29" s="8"/>
    </row>
    <row r="30" spans="1:6">
      <c r="B30" s="8"/>
    </row>
    <row r="31" spans="1:6">
      <c r="B31" s="8"/>
    </row>
    <row r="33" spans="1:6" ht="13.5" thickBot="1">
      <c r="F33" s="12">
        <f>SUM(F20:F32)</f>
        <v>2250</v>
      </c>
    </row>
    <row r="34" spans="1:6" ht="13.5" thickTop="1"/>
    <row r="35" spans="1:6" ht="20.100000000000001" customHeight="1">
      <c r="A35" s="11" t="s">
        <v>953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88">
    <pageSetUpPr fitToPage="1"/>
  </sheetPr>
  <dimension ref="A1:F50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1689</v>
      </c>
    </row>
    <row r="10" spans="1:6">
      <c r="A10" s="111" t="s">
        <v>1691</v>
      </c>
      <c r="D10" s="112" t="s">
        <v>1162</v>
      </c>
      <c r="E10" s="112" t="s">
        <v>1690</v>
      </c>
    </row>
    <row r="11" spans="1:6">
      <c r="D11" s="112" t="s">
        <v>1163</v>
      </c>
      <c r="E11" s="112" t="s">
        <v>1094</v>
      </c>
    </row>
    <row r="12" spans="1:6">
      <c r="D12" s="112" t="s">
        <v>1135</v>
      </c>
      <c r="E12" s="112" t="s">
        <v>1270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1694</v>
      </c>
    </row>
    <row r="19" spans="1:6">
      <c r="A19" s="161" t="s">
        <v>1692</v>
      </c>
    </row>
    <row r="20" spans="1:6">
      <c r="B20" s="176" t="s">
        <v>1693</v>
      </c>
      <c r="C20" s="120" t="s">
        <v>1695</v>
      </c>
      <c r="F20" s="111">
        <f>300000*0.000346</f>
        <v>103.8</v>
      </c>
    </row>
    <row r="22" spans="1:6">
      <c r="C22" s="111" t="s">
        <v>1696</v>
      </c>
    </row>
    <row r="24" spans="1:6">
      <c r="C24" s="111" t="s">
        <v>1697</v>
      </c>
      <c r="F24" s="111">
        <v>20</v>
      </c>
    </row>
    <row r="27" spans="1:6">
      <c r="F27" s="2"/>
    </row>
    <row r="28" spans="1:6">
      <c r="B28" s="120"/>
    </row>
    <row r="29" spans="1:6">
      <c r="B29" s="120"/>
    </row>
    <row r="31" spans="1:6" ht="13.5" thickBot="1">
      <c r="F31" s="127">
        <f>SUM(F19:F30)</f>
        <v>123.8</v>
      </c>
    </row>
    <row r="32" spans="1:6" ht="13.5" thickTop="1"/>
    <row r="33" spans="1:6" ht="20.100000000000001" customHeight="1" thickBot="1">
      <c r="A33" s="118" t="s">
        <v>1133</v>
      </c>
      <c r="B33" s="118" t="s">
        <v>1698</v>
      </c>
      <c r="C33" s="119"/>
      <c r="D33" s="119"/>
      <c r="E33" s="119"/>
      <c r="F33" s="117">
        <f>SUM(F20:F32)</f>
        <v>247.6</v>
      </c>
    </row>
    <row r="34" spans="1:6" ht="13.5" thickTop="1">
      <c r="A34" s="120"/>
    </row>
    <row r="35" spans="1:6">
      <c r="A35" s="123" t="s">
        <v>10</v>
      </c>
    </row>
    <row r="36" spans="1:6">
      <c r="A36" s="123"/>
    </row>
    <row r="37" spans="1:6">
      <c r="A37" s="123"/>
    </row>
    <row r="38" spans="1:6">
      <c r="A38" s="123"/>
      <c r="C38" s="121"/>
    </row>
    <row r="39" spans="1:6" ht="25.5">
      <c r="A39" s="270"/>
      <c r="B39" s="122"/>
      <c r="D39" s="265" t="s">
        <v>2894</v>
      </c>
      <c r="E39" s="266"/>
      <c r="F39" s="267"/>
    </row>
    <row r="41" spans="1:6">
      <c r="A41" s="123" t="s">
        <v>8</v>
      </c>
      <c r="D41" s="123" t="s">
        <v>7</v>
      </c>
      <c r="F41" s="124"/>
    </row>
    <row r="42" spans="1:6">
      <c r="A42" s="123"/>
    </row>
    <row r="43" spans="1:6">
      <c r="A43" s="123"/>
    </row>
    <row r="44" spans="1:6">
      <c r="A44" s="123"/>
    </row>
    <row r="45" spans="1:6">
      <c r="A45" s="150"/>
      <c r="B45" s="122"/>
      <c r="D45" s="122"/>
      <c r="E45" s="122"/>
      <c r="F45" s="122"/>
    </row>
    <row r="46" spans="1:6" s="126" customFormat="1" ht="17.100000000000001" customHeight="1">
      <c r="A46" s="151" t="s">
        <v>4</v>
      </c>
      <c r="B46" s="125"/>
      <c r="D46" s="126" t="s">
        <v>3</v>
      </c>
    </row>
    <row r="47" spans="1:6">
      <c r="A47" s="123"/>
      <c r="D47" s="111" t="s">
        <v>2</v>
      </c>
    </row>
    <row r="48" spans="1:6">
      <c r="A48" s="123"/>
    </row>
    <row r="49" spans="1:4">
      <c r="D49" s="2" t="s">
        <v>1</v>
      </c>
    </row>
    <row r="50" spans="1:4">
      <c r="A50" s="151" t="s">
        <v>2948</v>
      </c>
      <c r="D50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3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1-000000000000}">
  <sheetPr codeName="Sheet11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1089</v>
      </c>
    </row>
    <row r="10" spans="1:6">
      <c r="A10" s="1" t="s">
        <v>1088</v>
      </c>
      <c r="D10" s="21" t="s">
        <v>21</v>
      </c>
      <c r="E10" s="21" t="s">
        <v>58</v>
      </c>
    </row>
    <row r="11" spans="1:6">
      <c r="A11" s="1" t="s">
        <v>1087</v>
      </c>
      <c r="D11" s="21" t="s">
        <v>19</v>
      </c>
      <c r="E11" s="21" t="s">
        <v>18</v>
      </c>
    </row>
    <row r="12" spans="1:6">
      <c r="A12" s="1" t="s">
        <v>28</v>
      </c>
      <c r="D12" s="21" t="s">
        <v>17</v>
      </c>
      <c r="E12" s="20" t="s">
        <v>1086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20" spans="1:6">
      <c r="C20" s="14" t="s">
        <v>1085</v>
      </c>
    </row>
    <row r="21" spans="1:6">
      <c r="C21" s="14" t="s">
        <v>1084</v>
      </c>
    </row>
    <row r="22" spans="1:6">
      <c r="C22" s="13"/>
    </row>
    <row r="23" spans="1:6">
      <c r="A23" s="8"/>
      <c r="C23" s="13"/>
    </row>
    <row r="24" spans="1:6">
      <c r="C24" s="1" t="s">
        <v>1083</v>
      </c>
      <c r="F24" s="1">
        <v>1000</v>
      </c>
    </row>
    <row r="25" spans="1:6">
      <c r="C25" s="1" t="s">
        <v>1082</v>
      </c>
    </row>
    <row r="27" spans="1:6">
      <c r="A27" s="8"/>
      <c r="C27" s="13"/>
    </row>
    <row r="28" spans="1:6">
      <c r="C28" s="13"/>
    </row>
    <row r="29" spans="1:6">
      <c r="B29" s="8"/>
    </row>
    <row r="30" spans="1:6">
      <c r="B30" s="8"/>
    </row>
    <row r="31" spans="1:6">
      <c r="B31" s="8"/>
    </row>
    <row r="33" spans="1:6" ht="13.5" thickBot="1">
      <c r="F33" s="12">
        <f>SUM(F20:F32)</f>
        <v>1000</v>
      </c>
    </row>
    <row r="34" spans="1:6" ht="13.5" thickTop="1"/>
    <row r="35" spans="1:6" ht="20.100000000000001" customHeight="1">
      <c r="A35" s="10" t="s">
        <v>1081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1-000000000000}">
  <sheetPr codeName="Sheet10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460</v>
      </c>
    </row>
    <row r="10" spans="1:6">
      <c r="A10" s="1" t="s">
        <v>459</v>
      </c>
      <c r="D10" s="21" t="s">
        <v>21</v>
      </c>
      <c r="E10" s="21" t="s">
        <v>54</v>
      </c>
    </row>
    <row r="11" spans="1:6">
      <c r="A11" s="1" t="s">
        <v>458</v>
      </c>
      <c r="D11" s="21" t="s">
        <v>19</v>
      </c>
      <c r="E11" s="21" t="s">
        <v>18</v>
      </c>
    </row>
    <row r="12" spans="1:6">
      <c r="D12" s="21" t="s">
        <v>17</v>
      </c>
      <c r="E12" s="20" t="s">
        <v>457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2" spans="3:6">
      <c r="C22" s="1" t="s">
        <v>456</v>
      </c>
      <c r="F22" s="1">
        <v>100</v>
      </c>
    </row>
    <row r="33" spans="1:6" ht="13.5" thickBot="1">
      <c r="F33" s="12">
        <f>SUM(F20:F32)</f>
        <v>100</v>
      </c>
    </row>
    <row r="34" spans="1:6" ht="13.5" thickTop="1"/>
    <row r="35" spans="1:6" ht="20.100000000000001" customHeight="1">
      <c r="A35" s="10" t="s">
        <v>455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1-000000000000}">
  <sheetPr codeName="Sheet221">
    <pageSetUpPr fitToPage="1"/>
  </sheetPr>
  <dimension ref="A1:F54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3365</v>
      </c>
    </row>
    <row r="10" spans="1:6">
      <c r="A10" s="111" t="s">
        <v>1876</v>
      </c>
      <c r="D10" s="112" t="s">
        <v>1162</v>
      </c>
      <c r="E10" s="112" t="s">
        <v>3364</v>
      </c>
    </row>
    <row r="11" spans="1:6">
      <c r="A11" s="111" t="s">
        <v>1877</v>
      </c>
      <c r="D11" s="112" t="s">
        <v>1163</v>
      </c>
      <c r="E11" s="112" t="s">
        <v>1094</v>
      </c>
    </row>
    <row r="12" spans="1:6">
      <c r="A12" s="111" t="s">
        <v>1878</v>
      </c>
      <c r="D12" s="112" t="s">
        <v>1135</v>
      </c>
      <c r="E12" s="112" t="s">
        <v>3366</v>
      </c>
    </row>
    <row r="13" spans="1:6">
      <c r="A13" s="111" t="s">
        <v>1879</v>
      </c>
    </row>
    <row r="14" spans="1:6">
      <c r="A14" s="111" t="s">
        <v>1880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3367</v>
      </c>
    </row>
    <row r="19" spans="1:6">
      <c r="A19" s="161"/>
      <c r="B19" s="116"/>
    </row>
    <row r="20" spans="1:6">
      <c r="A20" s="116" t="s">
        <v>3368</v>
      </c>
      <c r="B20" s="116" t="s">
        <v>3369</v>
      </c>
      <c r="C20" s="111" t="s">
        <v>3370</v>
      </c>
      <c r="F20" s="111">
        <v>2500</v>
      </c>
    </row>
    <row r="21" spans="1:6">
      <c r="C21" s="120" t="s">
        <v>3377</v>
      </c>
    </row>
    <row r="22" spans="1:6">
      <c r="C22" s="111" t="s">
        <v>1034</v>
      </c>
    </row>
    <row r="31" spans="1:6">
      <c r="F31" s="2"/>
    </row>
    <row r="32" spans="1:6">
      <c r="B32" s="120"/>
    </row>
    <row r="33" spans="1:6">
      <c r="B33" s="120"/>
    </row>
    <row r="35" spans="1:6" ht="13.5" thickBot="1">
      <c r="F35" s="127">
        <f>SUM(F19:F34)</f>
        <v>2500</v>
      </c>
    </row>
    <row r="36" spans="1:6" ht="13.5" thickTop="1"/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Five Hundred and NO/100 -----------</v>
      </c>
      <c r="C37" s="119"/>
      <c r="D37" s="119"/>
      <c r="E37" s="119"/>
      <c r="F37" s="261"/>
    </row>
    <row r="38" spans="1:6">
      <c r="A38" s="120"/>
    </row>
    <row r="39" spans="1:6">
      <c r="A39" s="123" t="s">
        <v>10</v>
      </c>
    </row>
    <row r="40" spans="1:6">
      <c r="A40" s="123"/>
    </row>
    <row r="41" spans="1:6">
      <c r="A41" s="123"/>
    </row>
    <row r="42" spans="1:6">
      <c r="A42" s="123"/>
      <c r="C42" s="121"/>
    </row>
    <row r="43" spans="1:6" ht="25.5">
      <c r="A43" s="270"/>
      <c r="B43" s="122"/>
      <c r="D43" s="265" t="s">
        <v>2894</v>
      </c>
      <c r="E43" s="266"/>
      <c r="F43" s="267"/>
    </row>
    <row r="45" spans="1:6">
      <c r="A45" s="123" t="s">
        <v>8</v>
      </c>
      <c r="D45" s="123" t="s">
        <v>7</v>
      </c>
      <c r="F45" s="124"/>
    </row>
    <row r="46" spans="1:6">
      <c r="A46" s="123"/>
    </row>
    <row r="47" spans="1:6">
      <c r="A47" s="123"/>
    </row>
    <row r="48" spans="1:6">
      <c r="A48" s="123"/>
    </row>
    <row r="49" spans="1:6">
      <c r="A49" s="150"/>
      <c r="B49" s="122"/>
      <c r="D49" s="122"/>
      <c r="E49" s="122"/>
      <c r="F49" s="122"/>
    </row>
    <row r="50" spans="1:6" s="126" customFormat="1" ht="17.100000000000001" customHeight="1">
      <c r="A50" s="151" t="s">
        <v>2948</v>
      </c>
      <c r="B50" s="125"/>
      <c r="D50" s="126" t="s">
        <v>3</v>
      </c>
    </row>
    <row r="51" spans="1:6">
      <c r="A51" s="123"/>
      <c r="D51" s="111" t="s">
        <v>2</v>
      </c>
    </row>
    <row r="52" spans="1:6">
      <c r="A52" s="123"/>
    </row>
    <row r="53" spans="1:6">
      <c r="D53" s="2" t="s">
        <v>1</v>
      </c>
    </row>
    <row r="54" spans="1:6">
      <c r="A54" s="151"/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3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1-000000000000}">
  <sheetPr codeName="Sheet505">
    <pageSetUpPr fitToPage="1"/>
  </sheetPr>
  <dimension ref="A1:Q59"/>
  <sheetViews>
    <sheetView zoomScaleNormal="100" workbookViewId="0">
      <selection activeCell="G9" sqref="G9:G13"/>
    </sheetView>
  </sheetViews>
  <sheetFormatPr defaultRowHeight="12.75"/>
  <cols>
    <col min="1" max="2" width="15.5703125" style="131" customWidth="1"/>
    <col min="3" max="3" width="20" style="131" customWidth="1"/>
    <col min="4" max="4" width="17.42578125" style="131" customWidth="1"/>
    <col min="5" max="5" width="9.28515625" style="131" customWidth="1"/>
    <col min="6" max="6" width="13.28515625" style="131" customWidth="1"/>
    <col min="7" max="14" width="9.140625" style="131"/>
    <col min="15" max="15" width="18.140625" style="131" customWidth="1"/>
    <col min="16" max="16384" width="9.140625" style="131"/>
  </cols>
  <sheetData>
    <row r="1" spans="1:17" ht="15">
      <c r="A1" s="531" t="s">
        <v>26</v>
      </c>
      <c r="B1" s="531"/>
      <c r="C1" s="531"/>
      <c r="D1" s="531"/>
      <c r="E1" s="531"/>
      <c r="F1" s="531"/>
    </row>
    <row r="2" spans="1:17">
      <c r="A2" s="532" t="s">
        <v>25</v>
      </c>
      <c r="B2" s="532"/>
      <c r="C2" s="532"/>
      <c r="D2" s="532"/>
      <c r="E2" s="532"/>
      <c r="F2" s="532"/>
    </row>
    <row r="3" spans="1:17">
      <c r="A3" s="532" t="s">
        <v>1480</v>
      </c>
      <c r="B3" s="532"/>
      <c r="C3" s="532"/>
      <c r="D3" s="532"/>
      <c r="E3" s="532"/>
      <c r="F3" s="532"/>
    </row>
    <row r="4" spans="1:17">
      <c r="A4" s="532" t="s">
        <v>1684</v>
      </c>
      <c r="B4" s="532"/>
      <c r="C4" s="532"/>
      <c r="D4" s="532"/>
      <c r="E4" s="532"/>
      <c r="F4" s="532"/>
    </row>
    <row r="8" spans="1:17">
      <c r="A8" s="131" t="s">
        <v>24</v>
      </c>
      <c r="D8" s="87" t="s">
        <v>23</v>
      </c>
    </row>
    <row r="9" spans="1:17">
      <c r="A9" s="131" t="s">
        <v>4862</v>
      </c>
      <c r="D9" s="132" t="s">
        <v>1716</v>
      </c>
      <c r="E9" s="111" t="s">
        <v>4860</v>
      </c>
    </row>
    <row r="10" spans="1:17">
      <c r="D10" s="132" t="s">
        <v>1162</v>
      </c>
      <c r="E10" s="112" t="s">
        <v>4846</v>
      </c>
    </row>
    <row r="11" spans="1:17">
      <c r="D11" s="132" t="s">
        <v>1163</v>
      </c>
      <c r="E11" s="111" t="s">
        <v>1094</v>
      </c>
      <c r="K11" s="140"/>
      <c r="L11" s="305"/>
    </row>
    <row r="12" spans="1:17">
      <c r="D12" s="132" t="s">
        <v>1096</v>
      </c>
      <c r="E12" s="120" t="s">
        <v>4861</v>
      </c>
      <c r="K12" s="158"/>
      <c r="L12" s="306"/>
    </row>
    <row r="13" spans="1:17">
      <c r="E13" s="111"/>
      <c r="K13" s="158"/>
      <c r="L13" s="306"/>
    </row>
    <row r="14" spans="1:17">
      <c r="K14" s="158"/>
      <c r="L14" s="306"/>
    </row>
    <row r="15" spans="1:17">
      <c r="K15" s="158"/>
      <c r="L15" s="306"/>
    </row>
    <row r="16" spans="1:17" s="95" customFormat="1" ht="20.100000000000001" customHeight="1">
      <c r="A16" s="90" t="s">
        <v>1113</v>
      </c>
      <c r="B16" s="91" t="s">
        <v>1114</v>
      </c>
      <c r="C16" s="92" t="s">
        <v>14</v>
      </c>
      <c r="D16" s="90"/>
      <c r="E16" s="93"/>
      <c r="F16" s="94" t="s">
        <v>13</v>
      </c>
      <c r="K16" s="158"/>
      <c r="L16" s="306"/>
      <c r="M16" s="131"/>
      <c r="N16" s="131"/>
      <c r="O16" s="131"/>
      <c r="P16" s="131"/>
      <c r="Q16" s="131"/>
    </row>
    <row r="17" spans="1:13">
      <c r="K17" s="158"/>
      <c r="L17" s="306"/>
    </row>
    <row r="18" spans="1:13" ht="12.75" customHeight="1">
      <c r="C18" s="110" t="s">
        <v>4863</v>
      </c>
      <c r="K18" s="158"/>
      <c r="L18" s="305"/>
    </row>
    <row r="19" spans="1:13">
      <c r="K19" s="140"/>
      <c r="L19" s="305"/>
    </row>
    <row r="20" spans="1:13">
      <c r="A20" s="158"/>
      <c r="B20" s="158"/>
      <c r="C20" s="131" t="s">
        <v>4864</v>
      </c>
      <c r="F20" s="131">
        <v>1998.38</v>
      </c>
      <c r="M20" s="110"/>
    </row>
    <row r="22" spans="1:13">
      <c r="A22" s="158"/>
      <c r="B22" s="141"/>
      <c r="K22" s="158"/>
      <c r="L22" s="158"/>
    </row>
    <row r="23" spans="1:13">
      <c r="A23" s="158"/>
      <c r="B23" s="158"/>
    </row>
    <row r="24" spans="1:13">
      <c r="A24" s="158"/>
      <c r="B24" s="158"/>
      <c r="C24" s="110"/>
      <c r="K24" s="158"/>
      <c r="L24" s="141"/>
    </row>
    <row r="25" spans="1:13">
      <c r="C25" s="410"/>
    </row>
    <row r="26" spans="1:13">
      <c r="A26" s="158"/>
      <c r="B26" s="158"/>
    </row>
    <row r="28" spans="1:13">
      <c r="M28" s="110"/>
    </row>
    <row r="30" spans="1:13">
      <c r="A30" s="158"/>
      <c r="B30" s="158"/>
    </row>
    <row r="32" spans="1:13">
      <c r="A32" s="158"/>
      <c r="B32" s="306"/>
    </row>
    <row r="33" spans="1:12">
      <c r="B33" s="140"/>
    </row>
    <row r="35" spans="1:12" ht="13.5" thickBot="1">
      <c r="F35" s="164">
        <f>SUM(F18:F34)</f>
        <v>1998.38</v>
      </c>
    </row>
    <row r="36" spans="1:12" ht="13.5" thickTop="1"/>
    <row r="37" spans="1:12" ht="20.100000000000001" customHeight="1">
      <c r="A37" s="138" t="s">
        <v>1717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Nine Hundred Ninety-Eight and 38/100 -----------</v>
      </c>
      <c r="C37" s="139"/>
      <c r="D37" s="139"/>
      <c r="E37" s="139"/>
      <c r="F37" s="139"/>
    </row>
    <row r="38" spans="1:12">
      <c r="A38" s="140"/>
      <c r="K38" s="158"/>
      <c r="L38" s="158"/>
    </row>
    <row r="39" spans="1:12" ht="25.5">
      <c r="A39" s="143" t="s">
        <v>10</v>
      </c>
      <c r="D39" s="283" t="s">
        <v>2894</v>
      </c>
      <c r="E39" s="284"/>
      <c r="F39" s="285"/>
    </row>
    <row r="40" spans="1:12">
      <c r="A40" s="143"/>
      <c r="K40" s="158"/>
      <c r="L40" s="141"/>
    </row>
    <row r="41" spans="1:12">
      <c r="A41" s="143"/>
      <c r="D41" s="291"/>
      <c r="E41" s="291"/>
      <c r="F41" s="291"/>
      <c r="K41" s="158"/>
      <c r="L41" s="158"/>
    </row>
    <row r="42" spans="1:12">
      <c r="A42" s="143"/>
      <c r="C42" s="141"/>
      <c r="D42" s="286"/>
      <c r="E42" s="287"/>
      <c r="F42" s="287"/>
      <c r="K42" s="158"/>
      <c r="L42" s="158"/>
    </row>
    <row r="43" spans="1:12">
      <c r="A43" s="142"/>
      <c r="B43" s="142"/>
    </row>
    <row r="44" spans="1:12">
      <c r="A44" s="143"/>
      <c r="K44" s="158"/>
      <c r="L44" s="158"/>
    </row>
    <row r="45" spans="1:12">
      <c r="A45" s="143" t="s">
        <v>8</v>
      </c>
      <c r="D45" s="143" t="s">
        <v>7</v>
      </c>
      <c r="F45" s="144"/>
    </row>
    <row r="46" spans="1:12">
      <c r="A46" s="143"/>
    </row>
    <row r="47" spans="1:12">
      <c r="A47" s="143"/>
    </row>
    <row r="48" spans="1:12">
      <c r="A48" s="143"/>
    </row>
    <row r="49" spans="1:13">
      <c r="A49" s="248"/>
      <c r="B49" s="142"/>
      <c r="D49" s="142"/>
      <c r="E49" s="142"/>
      <c r="F49" s="142"/>
    </row>
    <row r="50" spans="1:13" s="147" customFormat="1" ht="17.100000000000001" customHeight="1">
      <c r="A50" s="143" t="s">
        <v>2948</v>
      </c>
      <c r="B50" s="146"/>
      <c r="D50" s="147" t="s">
        <v>3</v>
      </c>
    </row>
    <row r="51" spans="1:13">
      <c r="A51" s="143"/>
      <c r="D51" s="131" t="s">
        <v>2</v>
      </c>
      <c r="M51" s="110"/>
    </row>
    <row r="52" spans="1:13">
      <c r="A52" s="143"/>
    </row>
    <row r="53" spans="1:13">
      <c r="D53" s="110" t="s">
        <v>1</v>
      </c>
    </row>
    <row r="54" spans="1:13">
      <c r="D54" s="110" t="s">
        <v>0</v>
      </c>
    </row>
    <row r="57" spans="1:13">
      <c r="K57" s="158"/>
      <c r="L57" s="158"/>
    </row>
    <row r="58" spans="1:13">
      <c r="M58" s="410"/>
    </row>
    <row r="59" spans="1:13">
      <c r="K59" s="158"/>
      <c r="L59" s="158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3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A344-7615-40A9-BE7C-8910FD0ED53F}">
  <sheetPr codeName="Sheet525">
    <pageSetUpPr fitToPage="1"/>
  </sheetPr>
  <dimension ref="A1:O64"/>
  <sheetViews>
    <sheetView zoomScaleNormal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4" width="9.140625" style="1"/>
    <col min="15" max="15" width="10.5703125" style="1" bestFit="1" customWidth="1"/>
    <col min="16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5">
      <c r="A9" s="111"/>
      <c r="B9" s="111"/>
      <c r="C9" s="111"/>
      <c r="D9" s="111"/>
      <c r="E9" s="111"/>
      <c r="F9" s="112" t="s">
        <v>22</v>
      </c>
      <c r="G9" s="126" t="s">
        <v>5384</v>
      </c>
      <c r="H9" s="111"/>
      <c r="I9" s="1" t="s">
        <v>5344</v>
      </c>
      <c r="J9" s="1">
        <v>43438</v>
      </c>
      <c r="L9" s="1" t="s">
        <v>1270</v>
      </c>
    </row>
    <row r="10" spans="1:15">
      <c r="A10" s="111" t="s">
        <v>4862</v>
      </c>
      <c r="B10" s="111"/>
      <c r="C10" s="111"/>
      <c r="D10" s="111"/>
      <c r="E10" s="111"/>
      <c r="F10" s="112" t="s">
        <v>21</v>
      </c>
      <c r="G10" s="160" t="s">
        <v>5383</v>
      </c>
      <c r="H10" s="111"/>
      <c r="J10" s="21"/>
      <c r="K10" s="111" t="s">
        <v>5345</v>
      </c>
      <c r="L10" s="111"/>
      <c r="M10" s="111"/>
    </row>
    <row r="11" spans="1:15">
      <c r="A11" s="111" t="s">
        <v>5385</v>
      </c>
      <c r="B11" s="111"/>
      <c r="C11" s="111"/>
      <c r="D11" s="111"/>
      <c r="E11" s="111"/>
      <c r="F11" s="112" t="s">
        <v>19</v>
      </c>
      <c r="G11" s="160" t="s">
        <v>1094</v>
      </c>
      <c r="H11" s="111"/>
      <c r="J11" s="336"/>
      <c r="K11" s="111" t="s">
        <v>5346</v>
      </c>
    </row>
    <row r="12" spans="1:15">
      <c r="A12" s="111" t="s">
        <v>5386</v>
      </c>
      <c r="B12" s="111"/>
      <c r="C12" s="111"/>
      <c r="D12" s="111"/>
      <c r="E12" s="111"/>
      <c r="F12" s="112" t="s">
        <v>17</v>
      </c>
      <c r="G12" s="160" t="s">
        <v>1270</v>
      </c>
      <c r="H12" s="111"/>
      <c r="K12" s="111"/>
    </row>
    <row r="13" spans="1:15">
      <c r="A13" s="111" t="s">
        <v>5387</v>
      </c>
      <c r="B13" s="111"/>
      <c r="C13" s="111"/>
      <c r="D13" s="111"/>
      <c r="E13" s="111"/>
      <c r="F13" s="111"/>
      <c r="G13" s="131"/>
      <c r="H13" s="111"/>
      <c r="K13" s="111" t="s">
        <v>1697</v>
      </c>
    </row>
    <row r="14" spans="1:15">
      <c r="A14" s="111"/>
      <c r="B14" s="111"/>
      <c r="C14" s="111"/>
      <c r="D14" s="111"/>
      <c r="E14" s="111"/>
      <c r="F14" s="111"/>
      <c r="G14" s="131"/>
      <c r="H14" s="111"/>
    </row>
    <row r="15" spans="1:15">
      <c r="A15" s="111"/>
      <c r="B15" s="111"/>
      <c r="C15" s="111"/>
      <c r="D15" s="111"/>
      <c r="E15" s="111"/>
      <c r="F15" s="111"/>
      <c r="G15" s="111"/>
      <c r="H15" s="111"/>
      <c r="K15" s="111" t="s">
        <v>5347</v>
      </c>
      <c r="L15" s="111"/>
      <c r="M15" s="111"/>
      <c r="N15" s="111"/>
      <c r="O15" s="111">
        <f>4050*2.9926996</f>
        <v>12120.43338</v>
      </c>
    </row>
    <row r="16" spans="1:15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K16" s="111"/>
      <c r="L16" s="1"/>
      <c r="M16" s="1"/>
      <c r="N16" s="1"/>
      <c r="O16" s="111"/>
    </row>
    <row r="17" spans="1:15">
      <c r="A17" s="111"/>
      <c r="B17" s="111"/>
      <c r="C17" s="111"/>
      <c r="D17" s="111"/>
      <c r="E17" s="111"/>
      <c r="F17" s="111"/>
      <c r="G17" s="111"/>
      <c r="H17" s="111"/>
      <c r="K17" s="111" t="s">
        <v>5348</v>
      </c>
      <c r="O17" s="111"/>
    </row>
    <row r="18" spans="1:15">
      <c r="A18" s="111"/>
      <c r="B18" s="111"/>
      <c r="C18" s="111"/>
      <c r="D18" s="2" t="s">
        <v>5388</v>
      </c>
      <c r="E18" s="2"/>
      <c r="F18" s="111"/>
      <c r="G18" s="111"/>
      <c r="H18" s="111"/>
    </row>
    <row r="19" spans="1:15">
      <c r="A19" s="111"/>
      <c r="B19" s="111"/>
      <c r="C19" s="111"/>
      <c r="D19" s="2"/>
      <c r="E19" s="2"/>
      <c r="F19" s="111"/>
      <c r="G19" s="111"/>
      <c r="H19" s="111"/>
      <c r="K19" s="111" t="s">
        <v>5349</v>
      </c>
      <c r="L19" s="111"/>
      <c r="M19" s="111"/>
      <c r="N19" s="111"/>
      <c r="O19" s="111">
        <f>9300*2.9926996</f>
        <v>27832.10628</v>
      </c>
    </row>
    <row r="20" spans="1:15">
      <c r="A20" s="116" t="s">
        <v>5276</v>
      </c>
      <c r="B20" s="335" t="s">
        <v>5389</v>
      </c>
      <c r="C20" s="116"/>
      <c r="D20" s="111" t="s">
        <v>5390</v>
      </c>
      <c r="E20" s="111"/>
      <c r="F20" s="111"/>
      <c r="G20" s="111"/>
      <c r="H20" s="111">
        <f>15000*4.2203</f>
        <v>63304.5</v>
      </c>
      <c r="K20" s="111"/>
      <c r="L20" s="111"/>
      <c r="M20" s="111"/>
      <c r="N20" s="111"/>
      <c r="O20" s="111"/>
    </row>
    <row r="21" spans="1:15">
      <c r="A21" s="111"/>
      <c r="B21" s="120"/>
      <c r="C21" s="120"/>
      <c r="D21" s="111" t="s">
        <v>5391</v>
      </c>
      <c r="H21" s="111"/>
      <c r="K21" s="111" t="s">
        <v>5350</v>
      </c>
      <c r="L21" s="111"/>
      <c r="O21" s="111"/>
    </row>
    <row r="22" spans="1:15">
      <c r="A22" s="116"/>
      <c r="B22" s="116"/>
      <c r="C22" s="116"/>
      <c r="D22" s="111"/>
      <c r="H22" s="111"/>
    </row>
    <row r="23" spans="1:15">
      <c r="A23" s="116"/>
      <c r="B23" s="116"/>
      <c r="C23" s="120"/>
      <c r="D23" s="111" t="s">
        <v>2831</v>
      </c>
      <c r="H23" s="111">
        <v>30</v>
      </c>
      <c r="K23" s="111" t="s">
        <v>2831</v>
      </c>
      <c r="O23" s="111">
        <v>10</v>
      </c>
    </row>
    <row r="24" spans="1:15">
      <c r="A24" s="116"/>
      <c r="B24" s="116"/>
      <c r="C24" s="116"/>
      <c r="D24" s="111"/>
      <c r="E24" s="111"/>
      <c r="F24" s="111"/>
      <c r="G24" s="111"/>
      <c r="H24" s="111"/>
      <c r="K24" s="111"/>
      <c r="L24" s="111"/>
    </row>
    <row r="25" spans="1:15">
      <c r="A25" s="111"/>
      <c r="B25" s="111"/>
      <c r="C25" s="111"/>
      <c r="D25" s="111"/>
      <c r="E25" s="111"/>
      <c r="F25" s="111"/>
      <c r="G25" s="111"/>
      <c r="H25" s="111"/>
      <c r="K25" s="111" t="s">
        <v>5351</v>
      </c>
      <c r="L25" s="111"/>
      <c r="M25" s="111"/>
      <c r="N25" s="111"/>
      <c r="O25" s="111">
        <f>9300*3.0413</f>
        <v>28284.09</v>
      </c>
    </row>
    <row r="26" spans="1:15">
      <c r="A26" s="111"/>
      <c r="B26" s="120"/>
      <c r="C26" s="120"/>
      <c r="D26" s="111"/>
      <c r="E26" s="111"/>
      <c r="H26" s="111"/>
      <c r="K26" s="111" t="s">
        <v>5352</v>
      </c>
      <c r="O26" s="111"/>
    </row>
    <row r="27" spans="1:15">
      <c r="A27" s="111"/>
      <c r="B27" s="111"/>
      <c r="C27" s="111"/>
      <c r="K27" s="111"/>
      <c r="O27" s="111"/>
    </row>
    <row r="28" spans="1:15">
      <c r="A28" s="111"/>
      <c r="B28" s="111"/>
      <c r="C28" s="111"/>
      <c r="D28" s="111"/>
      <c r="H28" s="111"/>
      <c r="K28" s="111" t="s">
        <v>5353</v>
      </c>
      <c r="O28" s="111">
        <f>4050*3.0413</f>
        <v>12317.265000000001</v>
      </c>
    </row>
    <row r="29" spans="1:15">
      <c r="A29" s="111"/>
      <c r="B29" s="111"/>
      <c r="C29" s="111"/>
      <c r="D29" s="111"/>
      <c r="E29" s="111"/>
      <c r="K29" s="111" t="s">
        <v>5354</v>
      </c>
      <c r="L29" s="111"/>
      <c r="M29" s="111"/>
      <c r="N29" s="111"/>
      <c r="O29" s="111"/>
    </row>
    <row r="30" spans="1:15">
      <c r="A30" s="111"/>
      <c r="B30" s="120"/>
      <c r="C30" s="120"/>
      <c r="K30" s="111"/>
      <c r="L30" s="111"/>
      <c r="M30" s="111"/>
      <c r="N30" s="111"/>
      <c r="O30" s="111"/>
    </row>
    <row r="31" spans="1:15">
      <c r="A31" s="111"/>
      <c r="B31" s="111"/>
      <c r="C31" s="111"/>
    </row>
    <row r="32" spans="1:15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11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SUM(H18:H33)</f>
        <v>63334.5</v>
      </c>
    </row>
    <row r="36" spans="1:8" ht="13.5" thickTop="1">
      <c r="A36" s="111"/>
      <c r="B36" s="111"/>
      <c r="C36" s="111"/>
      <c r="D36" s="111"/>
      <c r="E36" s="111"/>
    </row>
    <row r="37" spans="1: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Sixty-Three Thousand Three Hundred Thirty-Four and 50/100 -----------</v>
      </c>
      <c r="C37" s="204"/>
      <c r="D37" s="119"/>
      <c r="E37" s="119"/>
      <c r="F37" s="119"/>
      <c r="G37" s="119"/>
      <c r="H37" s="119"/>
    </row>
    <row r="38" spans="1:8" ht="20.100000000000001" customHeight="1">
      <c r="A38" s="160"/>
      <c r="B38" s="145"/>
      <c r="C38" s="145"/>
      <c r="D38" s="126"/>
      <c r="E38" s="126"/>
      <c r="F38" s="126"/>
      <c r="G38" s="126"/>
      <c r="H38" s="126"/>
    </row>
    <row r="39" spans="1:8" ht="25.5">
      <c r="A39" s="120" t="s">
        <v>3060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310"/>
      <c r="G40" s="311"/>
      <c r="H40" s="311"/>
    </row>
    <row r="41" spans="1:8"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7B4E-237D-4D17-8F34-F1539801EF39}">
  <sheetPr codeName="Sheet526">
    <pageSetUpPr fitToPage="1"/>
  </sheetPr>
  <dimension ref="A1:O64"/>
  <sheetViews>
    <sheetView zoomScaleNormal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4" width="9.140625" style="1"/>
    <col min="15" max="15" width="10.5703125" style="1" bestFit="1" customWidth="1"/>
    <col min="16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5">
      <c r="A9" s="111"/>
      <c r="B9" s="111"/>
      <c r="C9" s="111"/>
      <c r="D9" s="111"/>
      <c r="E9" s="111"/>
      <c r="F9" s="112" t="s">
        <v>22</v>
      </c>
      <c r="G9" s="126" t="s">
        <v>5392</v>
      </c>
      <c r="H9" s="111"/>
      <c r="I9" s="1" t="s">
        <v>5344</v>
      </c>
      <c r="J9" s="1">
        <v>43438</v>
      </c>
      <c r="L9" s="1" t="s">
        <v>1270</v>
      </c>
    </row>
    <row r="10" spans="1:15">
      <c r="A10" s="111" t="s">
        <v>4862</v>
      </c>
      <c r="B10" s="111"/>
      <c r="C10" s="111"/>
      <c r="D10" s="111"/>
      <c r="E10" s="111"/>
      <c r="F10" s="112" t="s">
        <v>21</v>
      </c>
      <c r="G10" s="160" t="s">
        <v>5383</v>
      </c>
      <c r="H10" s="111"/>
      <c r="J10" s="21"/>
      <c r="K10" s="111" t="s">
        <v>5345</v>
      </c>
      <c r="L10" s="111"/>
      <c r="M10" s="111"/>
    </row>
    <row r="11" spans="1:15">
      <c r="A11" s="111" t="s">
        <v>5393</v>
      </c>
      <c r="B11" s="111"/>
      <c r="C11" s="111"/>
      <c r="D11" s="111"/>
      <c r="E11" s="111"/>
      <c r="F11" s="112" t="s">
        <v>19</v>
      </c>
      <c r="G11" s="160" t="s">
        <v>1094</v>
      </c>
      <c r="H11" s="111"/>
      <c r="J11" s="336"/>
      <c r="K11" s="111" t="s">
        <v>5346</v>
      </c>
    </row>
    <row r="12" spans="1:15">
      <c r="A12" s="111" t="s">
        <v>5394</v>
      </c>
      <c r="B12" s="111"/>
      <c r="C12" s="111"/>
      <c r="D12" s="111"/>
      <c r="E12" s="111"/>
      <c r="F12" s="112" t="s">
        <v>17</v>
      </c>
      <c r="G12" s="160" t="s">
        <v>1270</v>
      </c>
      <c r="H12" s="111"/>
      <c r="K12" s="111"/>
    </row>
    <row r="13" spans="1:15">
      <c r="A13" s="111"/>
      <c r="B13" s="111"/>
      <c r="C13" s="111"/>
      <c r="D13" s="111"/>
      <c r="E13" s="111"/>
      <c r="F13" s="111"/>
      <c r="G13" s="131"/>
      <c r="H13" s="111"/>
      <c r="K13" s="111" t="s">
        <v>1697</v>
      </c>
    </row>
    <row r="14" spans="1:15">
      <c r="A14" s="111"/>
      <c r="B14" s="111"/>
      <c r="C14" s="111"/>
      <c r="D14" s="111"/>
      <c r="E14" s="111"/>
      <c r="F14" s="111"/>
      <c r="G14" s="131"/>
      <c r="H14" s="111"/>
    </row>
    <row r="15" spans="1:15">
      <c r="A15" s="111"/>
      <c r="B15" s="111"/>
      <c r="C15" s="111"/>
      <c r="D15" s="111"/>
      <c r="E15" s="111"/>
      <c r="F15" s="111"/>
      <c r="G15" s="111"/>
      <c r="H15" s="111"/>
      <c r="K15" s="111" t="s">
        <v>5347</v>
      </c>
      <c r="L15" s="111"/>
      <c r="M15" s="111"/>
      <c r="N15" s="111"/>
      <c r="O15" s="111">
        <f>4050*2.9926996</f>
        <v>12120.43338</v>
      </c>
    </row>
    <row r="16" spans="1:15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K16" s="111"/>
      <c r="L16" s="1"/>
      <c r="M16" s="1"/>
      <c r="N16" s="1"/>
      <c r="O16" s="111"/>
    </row>
    <row r="17" spans="1:15">
      <c r="A17" s="111"/>
      <c r="B17" s="111"/>
      <c r="C17" s="111"/>
      <c r="D17" s="111"/>
      <c r="E17" s="111"/>
      <c r="F17" s="111"/>
      <c r="G17" s="111"/>
      <c r="H17" s="111"/>
      <c r="K17" s="111" t="s">
        <v>5348</v>
      </c>
      <c r="O17" s="111"/>
    </row>
    <row r="18" spans="1:15">
      <c r="A18" s="111"/>
      <c r="B18" s="111"/>
      <c r="C18" s="111"/>
      <c r="D18" s="2" t="s">
        <v>5388</v>
      </c>
      <c r="E18" s="2"/>
      <c r="F18" s="111"/>
      <c r="G18" s="111"/>
      <c r="H18" s="111"/>
    </row>
    <row r="19" spans="1:15">
      <c r="A19" s="111"/>
      <c r="B19" s="111"/>
      <c r="C19" s="111"/>
      <c r="D19" s="2"/>
      <c r="E19" s="2"/>
      <c r="F19" s="111"/>
      <c r="G19" s="111"/>
      <c r="H19" s="111"/>
      <c r="K19" s="111" t="s">
        <v>5349</v>
      </c>
      <c r="L19" s="111"/>
      <c r="M19" s="111"/>
      <c r="N19" s="111"/>
      <c r="O19" s="111">
        <f>9300*2.9926996</f>
        <v>27832.10628</v>
      </c>
    </row>
    <row r="20" spans="1:15">
      <c r="A20" s="116" t="s">
        <v>5314</v>
      </c>
      <c r="B20" s="335" t="s">
        <v>5395</v>
      </c>
      <c r="C20" s="116"/>
      <c r="D20" s="111" t="s">
        <v>5396</v>
      </c>
      <c r="E20" s="111"/>
      <c r="F20" s="111"/>
      <c r="G20" s="111"/>
      <c r="H20" s="111">
        <f>23000*4.2203</f>
        <v>97066.9</v>
      </c>
      <c r="K20" s="111"/>
      <c r="L20" s="111"/>
      <c r="M20" s="111"/>
      <c r="N20" s="111"/>
      <c r="O20" s="111"/>
    </row>
    <row r="21" spans="1:15">
      <c r="A21" s="111"/>
      <c r="B21" s="120"/>
      <c r="C21" s="120"/>
      <c r="D21" s="111" t="s">
        <v>5397</v>
      </c>
      <c r="H21" s="111"/>
      <c r="K21" s="111" t="s">
        <v>5350</v>
      </c>
      <c r="L21" s="111"/>
      <c r="O21" s="111"/>
    </row>
    <row r="22" spans="1:15">
      <c r="A22" s="116"/>
      <c r="B22" s="116"/>
      <c r="C22" s="116"/>
      <c r="D22" s="111"/>
      <c r="H22" s="111"/>
    </row>
    <row r="23" spans="1:15">
      <c r="A23" s="116"/>
      <c r="B23" s="116"/>
      <c r="C23" s="120"/>
      <c r="D23" s="111" t="s">
        <v>2831</v>
      </c>
      <c r="H23" s="111">
        <v>30</v>
      </c>
      <c r="K23" s="111" t="s">
        <v>2831</v>
      </c>
      <c r="O23" s="111">
        <v>10</v>
      </c>
    </row>
    <row r="24" spans="1:15">
      <c r="A24" s="116"/>
      <c r="B24" s="116"/>
      <c r="C24" s="116"/>
      <c r="D24" s="111"/>
      <c r="E24" s="111"/>
      <c r="F24" s="111"/>
      <c r="G24" s="111"/>
      <c r="H24" s="111"/>
      <c r="K24" s="111"/>
      <c r="L24" s="111"/>
    </row>
    <row r="25" spans="1:15">
      <c r="A25" s="111"/>
      <c r="B25" s="111"/>
      <c r="C25" s="111"/>
      <c r="D25" s="111"/>
      <c r="E25" s="111"/>
      <c r="F25" s="111"/>
      <c r="G25" s="111"/>
      <c r="H25" s="111"/>
      <c r="K25" s="111" t="s">
        <v>5351</v>
      </c>
      <c r="L25" s="111"/>
      <c r="M25" s="111"/>
      <c r="N25" s="111"/>
      <c r="O25" s="111">
        <f>9300*3.0413</f>
        <v>28284.09</v>
      </c>
    </row>
    <row r="26" spans="1:15">
      <c r="A26" s="111"/>
      <c r="B26" s="120"/>
      <c r="C26" s="120"/>
      <c r="D26" s="111"/>
      <c r="E26" s="111"/>
      <c r="H26" s="111"/>
      <c r="K26" s="111" t="s">
        <v>5352</v>
      </c>
      <c r="O26" s="111"/>
    </row>
    <row r="27" spans="1:15">
      <c r="A27" s="111"/>
      <c r="B27" s="111"/>
      <c r="C27" s="111"/>
      <c r="K27" s="111"/>
      <c r="O27" s="111"/>
    </row>
    <row r="28" spans="1:15">
      <c r="A28" s="111"/>
      <c r="B28" s="111"/>
      <c r="C28" s="111"/>
      <c r="D28" s="111"/>
      <c r="H28" s="111"/>
      <c r="K28" s="111" t="s">
        <v>5353</v>
      </c>
      <c r="O28" s="111">
        <f>4050*3.0413</f>
        <v>12317.265000000001</v>
      </c>
    </row>
    <row r="29" spans="1:15">
      <c r="A29" s="111"/>
      <c r="B29" s="111"/>
      <c r="C29" s="111"/>
      <c r="D29" s="111"/>
      <c r="E29" s="111"/>
      <c r="K29" s="111" t="s">
        <v>5354</v>
      </c>
      <c r="L29" s="111"/>
      <c r="M29" s="111"/>
      <c r="N29" s="111"/>
      <c r="O29" s="111"/>
    </row>
    <row r="30" spans="1:15">
      <c r="A30" s="111"/>
      <c r="B30" s="120"/>
      <c r="C30" s="120"/>
      <c r="K30" s="111"/>
      <c r="L30" s="111"/>
      <c r="M30" s="111"/>
      <c r="N30" s="111"/>
      <c r="O30" s="111"/>
    </row>
    <row r="31" spans="1:15">
      <c r="A31" s="111"/>
      <c r="B31" s="111"/>
      <c r="C31" s="111"/>
    </row>
    <row r="32" spans="1:15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11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SUM(H18:H33)</f>
        <v>97096.9</v>
      </c>
    </row>
    <row r="36" spans="1:8" ht="13.5" thickTop="1">
      <c r="A36" s="111"/>
      <c r="B36" s="111"/>
      <c r="C36" s="111"/>
      <c r="D36" s="111"/>
      <c r="E36" s="111"/>
    </row>
    <row r="37" spans="1: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Ninety-Seven Thousand Ninety-Six and 90/100 -----------</v>
      </c>
      <c r="C37" s="204"/>
      <c r="D37" s="119"/>
      <c r="E37" s="119"/>
      <c r="F37" s="119"/>
      <c r="G37" s="119"/>
      <c r="H37" s="119"/>
    </row>
    <row r="38" spans="1:8" ht="20.100000000000001" customHeight="1">
      <c r="A38" s="160"/>
      <c r="B38" s="145"/>
      <c r="C38" s="145"/>
      <c r="D38" s="126"/>
      <c r="E38" s="126"/>
      <c r="F38" s="126"/>
      <c r="G38" s="126"/>
      <c r="H38" s="126"/>
    </row>
    <row r="39" spans="1:8" ht="25.5">
      <c r="A39" s="120" t="s">
        <v>3060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310"/>
      <c r="G40" s="311"/>
      <c r="H40" s="311"/>
    </row>
    <row r="41" spans="1:8"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89FA2-2BFA-4680-AFDE-FBD8B5962CFE}">
  <sheetPr codeName="Sheet532">
    <pageSetUpPr fitToPage="1"/>
  </sheetPr>
  <dimension ref="A1:O64"/>
  <sheetViews>
    <sheetView topLeftCell="A4" zoomScaleNormal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4" width="9.140625" style="1"/>
    <col min="15" max="15" width="10.5703125" style="1" bestFit="1" customWidth="1"/>
    <col min="16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5">
      <c r="A9" s="111"/>
      <c r="B9" s="111"/>
      <c r="C9" s="111"/>
      <c r="D9" s="111"/>
      <c r="E9" s="111"/>
      <c r="F9" s="112" t="s">
        <v>22</v>
      </c>
      <c r="G9" s="126" t="s">
        <v>5784</v>
      </c>
      <c r="H9" s="111"/>
      <c r="I9" s="1" t="s">
        <v>5423</v>
      </c>
      <c r="J9" s="1">
        <v>43474</v>
      </c>
      <c r="L9" s="1" t="s">
        <v>1270</v>
      </c>
    </row>
    <row r="10" spans="1:15">
      <c r="A10" s="111" t="s">
        <v>4862</v>
      </c>
      <c r="B10" s="111"/>
      <c r="C10" s="111"/>
      <c r="D10" s="111"/>
      <c r="E10" s="111"/>
      <c r="F10" s="112" t="s">
        <v>21</v>
      </c>
      <c r="G10" s="160" t="s">
        <v>5777</v>
      </c>
      <c r="H10" s="111"/>
      <c r="J10" s="21"/>
      <c r="K10" s="111" t="s">
        <v>5345</v>
      </c>
      <c r="L10" s="111"/>
      <c r="M10" s="111"/>
    </row>
    <row r="11" spans="1:15">
      <c r="A11" s="111" t="s">
        <v>5425</v>
      </c>
      <c r="B11" s="111"/>
      <c r="C11" s="111"/>
      <c r="D11" s="111"/>
      <c r="E11" s="111"/>
      <c r="F11" s="112" t="s">
        <v>19</v>
      </c>
      <c r="G11" s="160" t="s">
        <v>1094</v>
      </c>
      <c r="H11" s="111"/>
      <c r="J11" s="336"/>
      <c r="K11" s="111" t="s">
        <v>5346</v>
      </c>
    </row>
    <row r="12" spans="1:15">
      <c r="A12" s="111" t="s">
        <v>5426</v>
      </c>
      <c r="B12" s="111"/>
      <c r="C12" s="111"/>
      <c r="D12" s="111"/>
      <c r="E12" s="111"/>
      <c r="F12" s="112" t="s">
        <v>17</v>
      </c>
      <c r="G12" s="160" t="s">
        <v>1270</v>
      </c>
      <c r="H12" s="111"/>
      <c r="K12" s="111"/>
    </row>
    <row r="13" spans="1:15">
      <c r="A13" s="111"/>
      <c r="B13" s="111"/>
      <c r="C13" s="111"/>
      <c r="D13" s="111"/>
      <c r="E13" s="111"/>
      <c r="F13" s="111"/>
      <c r="G13" s="131"/>
      <c r="H13" s="111"/>
      <c r="K13" s="111" t="s">
        <v>1697</v>
      </c>
    </row>
    <row r="14" spans="1:15">
      <c r="A14" s="111"/>
      <c r="B14" s="111"/>
      <c r="C14" s="111"/>
      <c r="D14" s="111"/>
      <c r="E14" s="111"/>
      <c r="F14" s="111"/>
      <c r="G14" s="131"/>
      <c r="H14" s="111"/>
    </row>
    <row r="15" spans="1:15">
      <c r="A15" s="111"/>
      <c r="B15" s="111"/>
      <c r="C15" s="111"/>
      <c r="D15" s="111"/>
      <c r="E15" s="111"/>
      <c r="F15" s="111"/>
      <c r="G15" s="111"/>
      <c r="H15" s="111"/>
      <c r="K15" s="111" t="s">
        <v>5347</v>
      </c>
      <c r="L15" s="111"/>
      <c r="M15" s="111"/>
      <c r="N15" s="111"/>
      <c r="O15" s="111">
        <f>4050*2.9926996</f>
        <v>12120.43338</v>
      </c>
    </row>
    <row r="16" spans="1:15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K16" s="111"/>
      <c r="L16" s="1"/>
      <c r="M16" s="1"/>
      <c r="N16" s="1"/>
      <c r="O16" s="111"/>
    </row>
    <row r="17" spans="1:15">
      <c r="A17" s="111"/>
      <c r="B17" s="111"/>
      <c r="C17" s="111"/>
      <c r="D17" s="111"/>
      <c r="E17" s="111"/>
      <c r="F17" s="111"/>
      <c r="G17" s="111"/>
      <c r="H17" s="111"/>
      <c r="K17" s="111" t="s">
        <v>5348</v>
      </c>
      <c r="O17" s="111"/>
    </row>
    <row r="18" spans="1:15">
      <c r="A18" s="111"/>
      <c r="B18" s="111"/>
      <c r="C18" s="111"/>
      <c r="D18" s="2" t="s">
        <v>5388</v>
      </c>
      <c r="E18" s="2"/>
      <c r="F18" s="111"/>
      <c r="G18" s="111"/>
      <c r="H18" s="111"/>
    </row>
    <row r="19" spans="1:15">
      <c r="A19" s="111"/>
      <c r="B19" s="111"/>
      <c r="C19" s="111"/>
      <c r="D19" s="2"/>
      <c r="E19" s="2"/>
      <c r="F19" s="111"/>
      <c r="G19" s="111"/>
      <c r="H19" s="111"/>
      <c r="K19" s="111" t="s">
        <v>5349</v>
      </c>
      <c r="L19" s="111"/>
      <c r="M19" s="111"/>
      <c r="N19" s="111"/>
      <c r="O19" s="111">
        <f>9300*2.9926996</f>
        <v>27832.10628</v>
      </c>
    </row>
    <row r="20" spans="1:15">
      <c r="A20" s="116" t="s">
        <v>5676</v>
      </c>
      <c r="B20" s="241" t="s">
        <v>5785</v>
      </c>
      <c r="C20" s="116"/>
      <c r="D20" s="111" t="s">
        <v>5427</v>
      </c>
      <c r="E20" s="111"/>
      <c r="F20" s="111"/>
      <c r="G20" s="111"/>
      <c r="H20" s="111">
        <f>15348.02*5.3888</f>
        <v>82707.410176000005</v>
      </c>
      <c r="K20" s="111"/>
      <c r="L20" s="111"/>
      <c r="M20" s="111"/>
      <c r="N20" s="111"/>
      <c r="O20" s="111"/>
    </row>
    <row r="21" spans="1:15">
      <c r="A21" s="111"/>
      <c r="B21" s="120"/>
      <c r="C21" s="120"/>
      <c r="D21" s="111" t="s">
        <v>5786</v>
      </c>
      <c r="H21" s="111"/>
      <c r="K21" s="111" t="s">
        <v>5350</v>
      </c>
      <c r="L21" s="111"/>
      <c r="O21" s="111"/>
    </row>
    <row r="22" spans="1:15">
      <c r="A22" s="116"/>
      <c r="B22" s="116"/>
      <c r="C22" s="116"/>
      <c r="D22" s="111"/>
      <c r="H22" s="111"/>
    </row>
    <row r="23" spans="1:15">
      <c r="A23" s="116"/>
      <c r="B23" s="116"/>
      <c r="C23" s="120"/>
      <c r="D23" s="111" t="s">
        <v>2831</v>
      </c>
      <c r="H23" s="111">
        <v>30</v>
      </c>
      <c r="K23" s="111" t="s">
        <v>2831</v>
      </c>
      <c r="O23" s="111">
        <v>10</v>
      </c>
    </row>
    <row r="24" spans="1:15">
      <c r="A24" s="116"/>
      <c r="B24" s="116"/>
      <c r="C24" s="116"/>
      <c r="D24" s="111"/>
      <c r="E24" s="111"/>
      <c r="F24" s="111"/>
      <c r="G24" s="111"/>
      <c r="H24" s="111"/>
      <c r="K24" s="111"/>
      <c r="L24" s="111"/>
    </row>
    <row r="25" spans="1:15">
      <c r="A25" s="111"/>
      <c r="B25" s="111"/>
      <c r="C25" s="111"/>
      <c r="D25" s="111"/>
      <c r="E25" s="111"/>
      <c r="F25" s="111"/>
      <c r="G25" s="111"/>
      <c r="H25" s="111"/>
      <c r="K25" s="111" t="s">
        <v>5351</v>
      </c>
      <c r="L25" s="111"/>
      <c r="M25" s="111"/>
      <c r="N25" s="111"/>
      <c r="O25" s="111">
        <f>9300*3.0413</f>
        <v>28284.09</v>
      </c>
    </row>
    <row r="26" spans="1:15">
      <c r="A26" s="111"/>
      <c r="B26" s="120"/>
      <c r="C26" s="120"/>
      <c r="D26" s="111"/>
      <c r="E26" s="111"/>
      <c r="H26" s="111"/>
      <c r="K26" s="111" t="s">
        <v>5352</v>
      </c>
      <c r="O26" s="111"/>
    </row>
    <row r="27" spans="1:15">
      <c r="A27" s="111"/>
      <c r="B27" s="111"/>
      <c r="C27" s="111"/>
      <c r="K27" s="111"/>
      <c r="O27" s="111"/>
    </row>
    <row r="28" spans="1:15">
      <c r="A28" s="111"/>
      <c r="B28" s="111"/>
      <c r="C28" s="111"/>
      <c r="D28" s="111"/>
      <c r="H28" s="111"/>
      <c r="K28" s="111" t="s">
        <v>5353</v>
      </c>
      <c r="O28" s="111">
        <f>4050*3.0413</f>
        <v>12317.265000000001</v>
      </c>
    </row>
    <row r="29" spans="1:15">
      <c r="A29" s="111"/>
      <c r="B29" s="111"/>
      <c r="C29" s="111"/>
      <c r="D29" s="111"/>
      <c r="E29" s="111"/>
      <c r="K29" s="111" t="s">
        <v>5354</v>
      </c>
      <c r="L29" s="111"/>
      <c r="M29" s="111"/>
      <c r="N29" s="111"/>
      <c r="O29" s="111"/>
    </row>
    <row r="30" spans="1:15">
      <c r="A30" s="111"/>
      <c r="B30" s="120"/>
      <c r="C30" s="120"/>
      <c r="K30" s="111"/>
      <c r="L30" s="111"/>
      <c r="M30" s="111"/>
      <c r="N30" s="111"/>
      <c r="O30" s="111"/>
    </row>
    <row r="31" spans="1:15">
      <c r="A31" s="111"/>
      <c r="B31" s="111"/>
      <c r="C31" s="111"/>
    </row>
    <row r="32" spans="1:15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11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SUM(H18:H33)</f>
        <v>82737.410176000005</v>
      </c>
    </row>
    <row r="36" spans="1:8" ht="13.5" thickTop="1">
      <c r="A36" s="111"/>
      <c r="B36" s="111"/>
      <c r="C36" s="111"/>
      <c r="D36" s="111"/>
      <c r="E36" s="111"/>
    </row>
    <row r="37" spans="1: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Eighty-Two Thousand Seven Hundred Thirty-Seven and 41/100 -----------</v>
      </c>
      <c r="C37" s="204"/>
      <c r="D37" s="119"/>
      <c r="E37" s="119"/>
      <c r="F37" s="119"/>
      <c r="G37" s="119"/>
      <c r="H37" s="119"/>
    </row>
    <row r="38" spans="1:8" ht="20.100000000000001" customHeight="1">
      <c r="A38" s="160"/>
      <c r="B38" s="145"/>
      <c r="C38" s="145"/>
      <c r="D38" s="126"/>
      <c r="E38" s="126"/>
      <c r="F38" s="126"/>
      <c r="G38" s="126"/>
      <c r="H38" s="126"/>
    </row>
    <row r="39" spans="1:8" ht="25.5">
      <c r="A39" s="120" t="s">
        <v>3060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310"/>
      <c r="G40" s="311"/>
      <c r="H40" s="311"/>
    </row>
    <row r="41" spans="1:8"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51FA-04FD-469C-BE36-2FDD1480D36B}">
  <sheetPr codeName="Sheet533">
    <pageSetUpPr fitToPage="1"/>
  </sheetPr>
  <dimension ref="A1:O65"/>
  <sheetViews>
    <sheetView topLeftCell="A4" zoomScaleNormal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4" width="9.140625" style="1"/>
    <col min="15" max="15" width="10.5703125" style="1" bestFit="1" customWidth="1"/>
    <col min="16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5">
      <c r="A9" s="111"/>
      <c r="B9" s="111"/>
      <c r="C9" s="111"/>
      <c r="D9" s="111"/>
      <c r="E9" s="111"/>
      <c r="F9" s="112" t="s">
        <v>22</v>
      </c>
      <c r="G9" s="126" t="s">
        <v>5428</v>
      </c>
      <c r="H9" s="111"/>
      <c r="I9" s="1" t="s">
        <v>5423</v>
      </c>
      <c r="J9" s="1">
        <v>43474</v>
      </c>
      <c r="L9" s="1" t="s">
        <v>1270</v>
      </c>
    </row>
    <row r="10" spans="1:15">
      <c r="A10" s="111" t="s">
        <v>4862</v>
      </c>
      <c r="B10" s="111"/>
      <c r="C10" s="111"/>
      <c r="D10" s="111"/>
      <c r="E10" s="111"/>
      <c r="F10" s="112" t="s">
        <v>21</v>
      </c>
      <c r="G10" s="160" t="s">
        <v>5424</v>
      </c>
      <c r="H10" s="111"/>
      <c r="J10" s="21"/>
      <c r="K10" s="111" t="s">
        <v>5345</v>
      </c>
      <c r="L10" s="111"/>
      <c r="M10" s="111"/>
    </row>
    <row r="11" spans="1:15">
      <c r="A11" s="111" t="s">
        <v>5429</v>
      </c>
      <c r="B11" s="111"/>
      <c r="C11" s="111"/>
      <c r="D11" s="111"/>
      <c r="E11" s="111"/>
      <c r="F11" s="112" t="s">
        <v>19</v>
      </c>
      <c r="G11" s="160" t="s">
        <v>1094</v>
      </c>
      <c r="H11" s="111"/>
      <c r="J11" s="336"/>
      <c r="K11" s="111" t="s">
        <v>5346</v>
      </c>
    </row>
    <row r="12" spans="1:15">
      <c r="A12" s="111" t="s">
        <v>5430</v>
      </c>
      <c r="B12" s="111"/>
      <c r="C12" s="111"/>
      <c r="D12" s="111"/>
      <c r="E12" s="111"/>
      <c r="F12" s="112" t="s">
        <v>17</v>
      </c>
      <c r="G12" s="160" t="s">
        <v>1270</v>
      </c>
      <c r="H12" s="111"/>
      <c r="K12" s="111"/>
    </row>
    <row r="13" spans="1:15">
      <c r="A13" s="111" t="s">
        <v>5431</v>
      </c>
      <c r="B13" s="111"/>
      <c r="C13" s="111"/>
      <c r="D13" s="111"/>
      <c r="E13" s="111"/>
      <c r="F13" s="111"/>
      <c r="G13" s="131"/>
      <c r="H13" s="111"/>
      <c r="K13" s="111" t="s">
        <v>1697</v>
      </c>
    </row>
    <row r="14" spans="1:15">
      <c r="A14" s="111"/>
      <c r="B14" s="111"/>
      <c r="C14" s="111"/>
      <c r="D14" s="111"/>
      <c r="E14" s="111"/>
      <c r="F14" s="111"/>
      <c r="G14" s="131"/>
      <c r="H14" s="111"/>
    </row>
    <row r="15" spans="1:15">
      <c r="A15" s="111"/>
      <c r="B15" s="111"/>
      <c r="C15" s="111"/>
      <c r="D15" s="111"/>
      <c r="E15" s="111"/>
      <c r="F15" s="111"/>
      <c r="G15" s="111"/>
      <c r="H15" s="111"/>
      <c r="K15" s="111" t="s">
        <v>5347</v>
      </c>
      <c r="L15" s="111"/>
      <c r="M15" s="111"/>
      <c r="N15" s="111"/>
      <c r="O15" s="111">
        <f>4050*2.9926996</f>
        <v>12120.43338</v>
      </c>
    </row>
    <row r="16" spans="1:15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K16" s="111"/>
      <c r="L16" s="1"/>
      <c r="M16" s="1"/>
      <c r="N16" s="1"/>
      <c r="O16" s="111"/>
    </row>
    <row r="17" spans="1:15">
      <c r="A17" s="111"/>
      <c r="B17" s="111"/>
      <c r="C17" s="111"/>
      <c r="D17" s="111"/>
      <c r="E17" s="111"/>
      <c r="F17" s="111"/>
      <c r="G17" s="111"/>
      <c r="H17" s="111"/>
      <c r="K17" s="111" t="s">
        <v>5348</v>
      </c>
      <c r="O17" s="111"/>
    </row>
    <row r="18" spans="1:15">
      <c r="A18" s="111"/>
      <c r="B18" s="111"/>
      <c r="C18" s="111"/>
      <c r="D18" s="2" t="s">
        <v>5388</v>
      </c>
      <c r="E18" s="2"/>
      <c r="F18" s="111"/>
      <c r="G18" s="111"/>
      <c r="H18" s="111"/>
    </row>
    <row r="19" spans="1:15">
      <c r="A19" s="111"/>
      <c r="B19" s="111"/>
      <c r="C19" s="111"/>
      <c r="D19" s="2"/>
      <c r="E19" s="2"/>
      <c r="F19" s="111"/>
      <c r="G19" s="111"/>
      <c r="H19" s="111"/>
      <c r="K19" s="111" t="s">
        <v>5349</v>
      </c>
      <c r="L19" s="111"/>
      <c r="M19" s="111"/>
      <c r="N19" s="111"/>
      <c r="O19" s="111">
        <f>9300*2.9926996</f>
        <v>27832.10628</v>
      </c>
    </row>
    <row r="20" spans="1:15">
      <c r="A20" s="116">
        <v>43431</v>
      </c>
      <c r="B20" s="241" t="s">
        <v>4216</v>
      </c>
      <c r="C20" s="116"/>
      <c r="D20" s="111" t="s">
        <v>5432</v>
      </c>
      <c r="E20" s="111"/>
      <c r="F20" s="111"/>
      <c r="G20" s="111"/>
      <c r="H20" s="111">
        <f>35000*4.1573</f>
        <v>145505.5</v>
      </c>
      <c r="K20" s="111"/>
      <c r="L20" s="111"/>
      <c r="M20" s="111"/>
      <c r="N20" s="111"/>
      <c r="O20" s="111"/>
    </row>
    <row r="21" spans="1:15">
      <c r="A21" s="111"/>
      <c r="B21" s="120"/>
      <c r="C21" s="120"/>
      <c r="D21" s="111" t="s">
        <v>5433</v>
      </c>
      <c r="H21" s="111"/>
      <c r="K21" s="111" t="s">
        <v>5350</v>
      </c>
      <c r="L21" s="111"/>
      <c r="O21" s="111"/>
    </row>
    <row r="22" spans="1:15">
      <c r="A22" s="116"/>
      <c r="B22" s="116"/>
      <c r="C22" s="116"/>
      <c r="D22" s="111"/>
      <c r="H22" s="111"/>
    </row>
    <row r="23" spans="1:15">
      <c r="A23" s="116"/>
      <c r="B23" s="116"/>
      <c r="C23" s="120"/>
      <c r="D23" s="111" t="s">
        <v>2831</v>
      </c>
      <c r="H23" s="111">
        <v>30</v>
      </c>
      <c r="K23" s="111" t="s">
        <v>2831</v>
      </c>
      <c r="O23" s="111">
        <v>10</v>
      </c>
    </row>
    <row r="24" spans="1:15">
      <c r="A24" s="116"/>
      <c r="B24" s="116"/>
      <c r="C24" s="116"/>
      <c r="D24" s="111"/>
      <c r="E24" s="111"/>
      <c r="F24" s="111"/>
      <c r="G24" s="111"/>
      <c r="H24" s="111"/>
      <c r="K24" s="111"/>
      <c r="L24" s="111"/>
    </row>
    <row r="25" spans="1:15">
      <c r="A25" s="111"/>
      <c r="B25" s="111"/>
      <c r="C25" s="111"/>
      <c r="D25" s="111"/>
      <c r="E25" s="111"/>
      <c r="F25" s="111"/>
      <c r="G25" s="111"/>
      <c r="H25" s="111"/>
      <c r="K25" s="111" t="s">
        <v>5351</v>
      </c>
      <c r="L25" s="111"/>
      <c r="M25" s="111"/>
      <c r="N25" s="111"/>
      <c r="O25" s="111">
        <f>9300*3.0413</f>
        <v>28284.09</v>
      </c>
    </row>
    <row r="26" spans="1:15">
      <c r="A26" s="111"/>
      <c r="B26" s="120"/>
      <c r="C26" s="120"/>
      <c r="D26" s="111"/>
      <c r="E26" s="111"/>
      <c r="H26" s="111"/>
      <c r="K26" s="111" t="s">
        <v>5352</v>
      </c>
      <c r="O26" s="111"/>
    </row>
    <row r="27" spans="1:15">
      <c r="A27" s="111"/>
      <c r="B27" s="111"/>
      <c r="C27" s="111"/>
      <c r="K27" s="111"/>
      <c r="O27" s="111"/>
    </row>
    <row r="28" spans="1:15">
      <c r="A28" s="111"/>
      <c r="B28" s="111"/>
      <c r="C28" s="111"/>
      <c r="D28" s="111"/>
      <c r="H28" s="111"/>
      <c r="K28" s="111" t="s">
        <v>5353</v>
      </c>
      <c r="O28" s="111">
        <f>4050*3.0413</f>
        <v>12317.265000000001</v>
      </c>
    </row>
    <row r="29" spans="1:15">
      <c r="A29" s="111"/>
      <c r="B29" s="111"/>
      <c r="C29" s="111"/>
      <c r="D29" s="111"/>
      <c r="E29" s="111"/>
      <c r="K29" s="111" t="s">
        <v>5354</v>
      </c>
      <c r="L29" s="111"/>
      <c r="M29" s="111"/>
      <c r="N29" s="111"/>
      <c r="O29" s="111"/>
    </row>
    <row r="30" spans="1:15">
      <c r="A30" s="111"/>
      <c r="B30" s="120"/>
      <c r="C30" s="120"/>
      <c r="K30" s="111"/>
      <c r="L30" s="111"/>
      <c r="M30" s="111"/>
      <c r="N30" s="111"/>
      <c r="O30" s="111"/>
    </row>
    <row r="31" spans="1:15">
      <c r="A31" s="111"/>
      <c r="B31" s="111"/>
      <c r="C31" s="111"/>
    </row>
    <row r="32" spans="1:15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11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SUM(H18:H33)</f>
        <v>145535.5</v>
      </c>
    </row>
    <row r="36" spans="1:8" ht="13.5" thickTop="1">
      <c r="A36" s="111"/>
      <c r="B36" s="111"/>
      <c r="C36" s="111"/>
      <c r="D36" s="111"/>
      <c r="E36" s="111"/>
    </row>
    <row r="37" spans="1: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>One Hundred Forty-Five Thousand Five Hundred Thirty-Five and 50/100 -----------</v>
      </c>
      <c r="C37" s="204"/>
      <c r="D37" s="119"/>
      <c r="E37" s="119"/>
      <c r="F37" s="119"/>
      <c r="G37" s="119"/>
      <c r="H37" s="119"/>
    </row>
    <row r="38" spans="1:8" ht="20.100000000000001" customHeight="1">
      <c r="A38" s="160"/>
      <c r="B38" s="145"/>
      <c r="C38" s="145"/>
      <c r="D38" s="126"/>
      <c r="E38" s="126"/>
      <c r="F38" s="126"/>
      <c r="G38" s="126"/>
      <c r="H38" s="126"/>
    </row>
    <row r="39" spans="1:8" ht="25.5">
      <c r="A39" s="120" t="s">
        <v>3060</v>
      </c>
      <c r="B39" s="111"/>
      <c r="C39" s="111"/>
      <c r="D39" s="123" t="s">
        <v>8</v>
      </c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310"/>
      <c r="G40" s="311"/>
      <c r="H40" s="311"/>
    </row>
    <row r="41" spans="1:8"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2"/>
      <c r="B43" s="122"/>
      <c r="C43" s="111"/>
      <c r="D43" s="122"/>
      <c r="E43" s="111"/>
      <c r="F43" s="111"/>
      <c r="G43" s="111"/>
      <c r="H43" s="111"/>
    </row>
    <row r="44" spans="1:8">
      <c r="A44" s="111"/>
      <c r="B44" s="111"/>
      <c r="C44" s="111"/>
      <c r="D44" s="151" t="s">
        <v>103</v>
      </c>
      <c r="E44" s="111"/>
      <c r="F44" s="111"/>
      <c r="G44" s="111"/>
      <c r="H44" s="111"/>
    </row>
    <row r="45" spans="1:8">
      <c r="A45" s="111"/>
      <c r="B45" s="111"/>
      <c r="C45" s="111"/>
      <c r="D45" s="151"/>
      <c r="E45" s="111"/>
      <c r="F45" s="111"/>
      <c r="G45" s="111"/>
      <c r="H45" s="111"/>
    </row>
    <row r="46" spans="1:8">
      <c r="A46" s="123" t="s">
        <v>8</v>
      </c>
      <c r="B46" s="111"/>
      <c r="C46" s="111"/>
      <c r="D46" s="123" t="s">
        <v>8</v>
      </c>
      <c r="E46" s="111"/>
      <c r="F46" s="123" t="s">
        <v>7</v>
      </c>
      <c r="G46" s="111"/>
      <c r="H46" s="124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22"/>
      <c r="B50" s="122"/>
      <c r="C50" s="111"/>
      <c r="D50" s="122"/>
      <c r="E50" s="111"/>
      <c r="F50" s="122"/>
      <c r="G50" s="122"/>
      <c r="H50" s="122"/>
    </row>
    <row r="51" spans="1:8" s="3" customFormat="1" ht="17.100000000000001" customHeight="1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</row>
    <row r="52" spans="1:8">
      <c r="A52" s="111"/>
      <c r="B52" s="111"/>
      <c r="C52" s="111"/>
      <c r="D52" s="111"/>
      <c r="E52" s="111"/>
      <c r="F52" s="111" t="s">
        <v>2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2" t="s">
        <v>1</v>
      </c>
      <c r="G54" s="111"/>
      <c r="H54" s="111"/>
    </row>
    <row r="55" spans="1:8">
      <c r="A55" s="111"/>
      <c r="B55" s="111"/>
      <c r="C55" s="111"/>
      <c r="D55" s="111"/>
      <c r="E55" s="111"/>
      <c r="F55" s="2" t="s">
        <v>0</v>
      </c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  <row r="65" spans="1:8">
      <c r="A65" s="111"/>
      <c r="B65" s="111"/>
      <c r="C65" s="111"/>
      <c r="D65" s="111"/>
      <c r="E65" s="111"/>
      <c r="F65" s="111"/>
      <c r="G65" s="111"/>
      <c r="H65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6C529-CF62-4416-AE82-D2C2CB111B7E}">
  <sheetPr codeName="Sheet539">
    <pageSetUpPr fitToPage="1"/>
  </sheetPr>
  <dimension ref="A1:O65"/>
  <sheetViews>
    <sheetView view="pageBreakPreview" topLeftCell="A4" zoomScaleNormal="100" zoomScaleSheetLayoutView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9" width="9.140625" style="1"/>
    <col min="10" max="10" width="11.5703125" style="1" bestFit="1" customWidth="1"/>
    <col min="11" max="14" width="9.140625" style="1"/>
    <col min="15" max="15" width="11.5703125" style="1" bestFit="1" customWidth="1"/>
    <col min="16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</row>
    <row r="7" spans="1:15">
      <c r="J7" s="1" t="s">
        <v>5810</v>
      </c>
      <c r="K7" s="1">
        <v>43633</v>
      </c>
      <c r="M7" s="1" t="s">
        <v>1270</v>
      </c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5">
      <c r="A9" s="111"/>
      <c r="B9" s="111"/>
      <c r="C9" s="111"/>
      <c r="D9" s="111"/>
      <c r="E9" s="111"/>
      <c r="F9" s="112" t="s">
        <v>22</v>
      </c>
      <c r="G9" s="126" t="s">
        <v>5810</v>
      </c>
      <c r="H9" s="111"/>
      <c r="I9" s="1" t="s">
        <v>5506</v>
      </c>
      <c r="J9" s="1">
        <v>43494</v>
      </c>
      <c r="L9" s="1" t="s">
        <v>1270</v>
      </c>
    </row>
    <row r="10" spans="1:15">
      <c r="A10" s="111" t="s">
        <v>4862</v>
      </c>
      <c r="B10" s="111"/>
      <c r="C10" s="111"/>
      <c r="D10" s="111"/>
      <c r="E10" s="111"/>
      <c r="F10" s="112" t="s">
        <v>21</v>
      </c>
      <c r="G10" s="160" t="s">
        <v>5802</v>
      </c>
      <c r="H10" s="111"/>
      <c r="J10" s="21"/>
      <c r="K10" s="111" t="s">
        <v>5345</v>
      </c>
      <c r="L10" s="111"/>
      <c r="M10" s="111"/>
    </row>
    <row r="11" spans="1:15">
      <c r="A11" s="111" t="s">
        <v>5507</v>
      </c>
      <c r="B11" s="111"/>
      <c r="C11" s="111"/>
      <c r="D11" s="111"/>
      <c r="E11" s="111"/>
      <c r="F11" s="112" t="s">
        <v>19</v>
      </c>
      <c r="G11" s="160" t="s">
        <v>1094</v>
      </c>
      <c r="H11" s="111"/>
      <c r="J11" s="336"/>
      <c r="K11" s="111" t="s">
        <v>5346</v>
      </c>
    </row>
    <row r="12" spans="1:15">
      <c r="A12" s="111" t="s">
        <v>5508</v>
      </c>
      <c r="B12" s="111"/>
      <c r="C12" s="111"/>
      <c r="D12" s="111"/>
      <c r="E12" s="111"/>
      <c r="F12" s="112" t="s">
        <v>17</v>
      </c>
      <c r="G12" s="160" t="s">
        <v>1270</v>
      </c>
      <c r="H12" s="111"/>
      <c r="K12" s="111"/>
    </row>
    <row r="13" spans="1:15">
      <c r="A13" s="111"/>
      <c r="B13" s="111"/>
      <c r="C13" s="111"/>
      <c r="D13" s="111"/>
      <c r="E13" s="111"/>
      <c r="F13" s="111"/>
      <c r="G13" s="131"/>
      <c r="H13" s="111"/>
      <c r="K13" s="111" t="s">
        <v>1697</v>
      </c>
    </row>
    <row r="14" spans="1:15">
      <c r="A14" s="111"/>
      <c r="B14" s="111"/>
      <c r="C14" s="111"/>
      <c r="D14" s="111"/>
      <c r="E14" s="111"/>
      <c r="F14" s="111"/>
      <c r="G14" s="131"/>
      <c r="H14" s="111"/>
    </row>
    <row r="15" spans="1:15">
      <c r="A15" s="111"/>
      <c r="B15" s="111"/>
      <c r="C15" s="111"/>
      <c r="D15" s="111"/>
      <c r="E15" s="111"/>
      <c r="F15" s="111"/>
      <c r="G15" s="111"/>
      <c r="H15" s="111"/>
      <c r="K15" s="111" t="s">
        <v>5347</v>
      </c>
      <c r="L15" s="111"/>
      <c r="M15" s="111"/>
      <c r="N15" s="111"/>
      <c r="O15" s="111">
        <f>4050*2.9926996</f>
        <v>12120.43338</v>
      </c>
    </row>
    <row r="16" spans="1:15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K16" s="111"/>
      <c r="L16" s="1"/>
      <c r="M16" s="1"/>
      <c r="N16" s="1"/>
      <c r="O16" s="111"/>
    </row>
    <row r="17" spans="1:15">
      <c r="A17" s="111"/>
      <c r="B17" s="111"/>
      <c r="C17" s="111"/>
      <c r="D17" s="111"/>
      <c r="E17" s="111"/>
      <c r="F17" s="111"/>
      <c r="G17" s="111"/>
      <c r="H17" s="111"/>
      <c r="K17" s="111" t="s">
        <v>5348</v>
      </c>
      <c r="O17" s="111"/>
    </row>
    <row r="18" spans="1:15">
      <c r="A18" s="111"/>
      <c r="B18" s="111"/>
      <c r="C18" s="111"/>
      <c r="D18" s="2" t="s">
        <v>5388</v>
      </c>
      <c r="E18" s="2"/>
      <c r="F18" s="111"/>
      <c r="G18" s="111"/>
      <c r="H18" s="111"/>
    </row>
    <row r="19" spans="1:15">
      <c r="A19" s="111"/>
      <c r="B19" s="111"/>
      <c r="C19" s="111"/>
      <c r="D19" s="2"/>
      <c r="E19" s="2"/>
      <c r="F19" s="111"/>
      <c r="G19" s="111"/>
      <c r="H19" s="111"/>
      <c r="K19" s="111" t="s">
        <v>5349</v>
      </c>
      <c r="L19" s="111"/>
      <c r="M19" s="111"/>
      <c r="N19" s="111"/>
      <c r="O19" s="111">
        <f>9300*2.9926996</f>
        <v>27832.10628</v>
      </c>
    </row>
    <row r="20" spans="1:15">
      <c r="A20" s="116" t="s">
        <v>5788</v>
      </c>
      <c r="B20" s="241" t="s">
        <v>5811</v>
      </c>
      <c r="C20" s="116"/>
      <c r="D20" s="111" t="s">
        <v>5812</v>
      </c>
      <c r="E20" s="111"/>
      <c r="F20" s="111"/>
      <c r="G20" s="111"/>
      <c r="H20" s="111">
        <f>7069*4.2297</f>
        <v>29899.749300000003</v>
      </c>
      <c r="K20" s="111"/>
      <c r="L20" s="111"/>
      <c r="M20" s="111"/>
      <c r="N20" s="111"/>
      <c r="O20" s="111"/>
    </row>
    <row r="21" spans="1:15">
      <c r="A21" s="111"/>
      <c r="B21" s="120"/>
      <c r="C21" s="120"/>
      <c r="D21" s="111" t="s">
        <v>5813</v>
      </c>
      <c r="H21" s="111"/>
      <c r="K21" s="111" t="s">
        <v>5350</v>
      </c>
      <c r="L21" s="111"/>
      <c r="O21" s="111"/>
    </row>
    <row r="22" spans="1:15">
      <c r="A22" s="116"/>
      <c r="B22" s="116"/>
      <c r="C22" s="116"/>
      <c r="D22" s="111" t="s">
        <v>5814</v>
      </c>
      <c r="H22" s="111"/>
    </row>
    <row r="23" spans="1:15">
      <c r="A23" s="116"/>
      <c r="B23" s="116"/>
      <c r="C23" s="120"/>
      <c r="D23" s="111"/>
      <c r="H23" s="111"/>
      <c r="K23" s="111" t="s">
        <v>2831</v>
      </c>
      <c r="O23" s="111">
        <v>10</v>
      </c>
    </row>
    <row r="24" spans="1:15">
      <c r="A24" s="116"/>
      <c r="B24" s="116"/>
      <c r="C24" s="116"/>
      <c r="D24" s="111" t="s">
        <v>1697</v>
      </c>
      <c r="E24" s="111"/>
      <c r="F24" s="111"/>
      <c r="G24" s="111"/>
      <c r="H24" s="111">
        <v>30</v>
      </c>
      <c r="K24" s="111"/>
      <c r="L24" s="111"/>
    </row>
    <row r="25" spans="1:15">
      <c r="A25" s="111"/>
      <c r="B25" s="111"/>
      <c r="C25" s="111"/>
      <c r="D25" s="111"/>
      <c r="E25" s="111"/>
      <c r="F25" s="111"/>
      <c r="G25" s="111"/>
      <c r="H25" s="111"/>
      <c r="K25" s="111" t="s">
        <v>5351</v>
      </c>
      <c r="L25" s="111"/>
      <c r="M25" s="111"/>
      <c r="N25" s="111"/>
      <c r="O25" s="111">
        <f>9300*3.0413</f>
        <v>28284.09</v>
      </c>
    </row>
    <row r="26" spans="1:15">
      <c r="A26" s="111"/>
      <c r="B26" s="120"/>
      <c r="C26" s="120"/>
      <c r="D26" s="111"/>
      <c r="E26" s="111"/>
      <c r="H26" s="111"/>
      <c r="K26" s="111" t="s">
        <v>5352</v>
      </c>
      <c r="O26" s="111"/>
    </row>
    <row r="27" spans="1:15">
      <c r="A27" s="111"/>
      <c r="B27" s="111"/>
      <c r="C27" s="111"/>
      <c r="K27" s="111"/>
      <c r="O27" s="111"/>
    </row>
    <row r="28" spans="1:15">
      <c r="A28" s="111"/>
      <c r="B28" s="111"/>
      <c r="C28" s="111"/>
      <c r="D28" s="111"/>
      <c r="H28" s="111"/>
      <c r="K28" s="111" t="s">
        <v>5353</v>
      </c>
      <c r="O28" s="111">
        <f>4050*3.0413</f>
        <v>12317.265000000001</v>
      </c>
    </row>
    <row r="29" spans="1:15">
      <c r="A29" s="111"/>
      <c r="B29" s="111"/>
      <c r="C29" s="111"/>
      <c r="D29" s="111"/>
      <c r="E29" s="111"/>
      <c r="K29" s="111" t="s">
        <v>5354</v>
      </c>
      <c r="L29" s="111"/>
      <c r="M29" s="111"/>
      <c r="N29" s="111"/>
      <c r="O29" s="111"/>
    </row>
    <row r="30" spans="1:15">
      <c r="A30" s="111"/>
      <c r="B30" s="120"/>
      <c r="C30" s="120"/>
      <c r="K30" s="111"/>
      <c r="L30" s="111"/>
      <c r="M30" s="111"/>
      <c r="N30" s="111"/>
      <c r="O30" s="111"/>
    </row>
    <row r="31" spans="1:15">
      <c r="A31" s="111"/>
      <c r="B31" s="111"/>
      <c r="C31" s="111"/>
    </row>
    <row r="32" spans="1:15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11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SUM(H18:H33)</f>
        <v>29929.749300000003</v>
      </c>
    </row>
    <row r="36" spans="1:8" ht="13.5" thickTop="1">
      <c r="A36" s="111"/>
      <c r="B36" s="111"/>
      <c r="C36" s="111"/>
      <c r="D36" s="111"/>
      <c r="E36" s="111"/>
    </row>
    <row r="37" spans="1: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Twenty-Nine Thousand Nine Hundred Twenty-Nine and 75/100 -----------</v>
      </c>
      <c r="C37" s="204"/>
      <c r="D37" s="119"/>
      <c r="E37" s="119"/>
      <c r="F37" s="119"/>
      <c r="G37" s="119"/>
      <c r="H37" s="119"/>
    </row>
    <row r="38" spans="1:8" ht="20.100000000000001" customHeight="1">
      <c r="A38" s="160"/>
      <c r="B38" s="145"/>
      <c r="C38" s="145"/>
      <c r="D38" s="126"/>
      <c r="E38" s="126"/>
      <c r="F38" s="126"/>
      <c r="G38" s="126"/>
      <c r="H38" s="126"/>
    </row>
    <row r="39" spans="1:8" ht="25.5">
      <c r="A39" s="120" t="s">
        <v>3060</v>
      </c>
      <c r="B39" s="111"/>
      <c r="C39" s="111"/>
      <c r="D39" s="123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310"/>
      <c r="G40" s="311"/>
      <c r="H40" s="311"/>
    </row>
    <row r="41" spans="1:8"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51"/>
      <c r="E44" s="111"/>
      <c r="F44" s="111"/>
      <c r="G44" s="111"/>
      <c r="H44" s="111"/>
    </row>
    <row r="45" spans="1:8">
      <c r="A45" s="111"/>
      <c r="B45" s="111"/>
      <c r="C45" s="111"/>
      <c r="D45" s="151"/>
      <c r="E45" s="111"/>
      <c r="F45" s="111"/>
      <c r="G45" s="111"/>
      <c r="H45" s="111"/>
    </row>
    <row r="46" spans="1:8">
      <c r="A46" s="123" t="s">
        <v>8</v>
      </c>
      <c r="B46" s="111"/>
      <c r="C46" s="111"/>
      <c r="D46" s="123" t="s">
        <v>8</v>
      </c>
      <c r="E46" s="111"/>
      <c r="F46" s="123" t="s">
        <v>7</v>
      </c>
      <c r="G46" s="111"/>
      <c r="H46" s="124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22"/>
      <c r="B50" s="122"/>
      <c r="C50" s="111"/>
      <c r="D50" s="122"/>
      <c r="E50" s="111"/>
      <c r="F50" s="122"/>
      <c r="G50" s="122"/>
      <c r="H50" s="122"/>
    </row>
    <row r="51" spans="1:8" s="3" customFormat="1" ht="17.100000000000001" customHeight="1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</row>
    <row r="52" spans="1:8">
      <c r="A52" s="111"/>
      <c r="B52" s="111"/>
      <c r="C52" s="111"/>
      <c r="D52" s="111"/>
      <c r="E52" s="111"/>
      <c r="F52" s="111" t="s">
        <v>2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2" t="s">
        <v>1</v>
      </c>
      <c r="G54" s="111"/>
      <c r="H54" s="111"/>
    </row>
    <row r="55" spans="1:8">
      <c r="A55" s="111"/>
      <c r="B55" s="111"/>
      <c r="C55" s="111"/>
      <c r="D55" s="111"/>
      <c r="E55" s="111"/>
      <c r="F55" s="2" t="s">
        <v>0</v>
      </c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  <row r="65" spans="1:8">
      <c r="A65" s="111"/>
      <c r="B65" s="111"/>
      <c r="C65" s="111"/>
      <c r="D65" s="111"/>
      <c r="E65" s="111"/>
      <c r="F65" s="111"/>
      <c r="G65" s="111"/>
      <c r="H65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1-000000000000}">
  <sheetPr codeName="Sheet34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42578125" style="131" customWidth="1"/>
    <col min="2" max="2" width="15" style="131" customWidth="1"/>
    <col min="3" max="3" width="21" style="131" customWidth="1"/>
    <col min="4" max="4" width="12.28515625" style="131" customWidth="1"/>
    <col min="5" max="5" width="9.285156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1716</v>
      </c>
      <c r="E9" s="131" t="s">
        <v>2950</v>
      </c>
    </row>
    <row r="10" spans="1:6">
      <c r="A10" s="131" t="s">
        <v>2952</v>
      </c>
      <c r="D10" s="132" t="s">
        <v>1162</v>
      </c>
      <c r="E10" s="143" t="s">
        <v>2949</v>
      </c>
    </row>
    <row r="11" spans="1:6">
      <c r="A11" s="131" t="s">
        <v>2953</v>
      </c>
      <c r="D11" s="132" t="s">
        <v>1163</v>
      </c>
      <c r="E11" s="132" t="s">
        <v>1094</v>
      </c>
    </row>
    <row r="12" spans="1:6">
      <c r="A12" s="131" t="s">
        <v>2954</v>
      </c>
      <c r="D12" s="132" t="s">
        <v>1096</v>
      </c>
      <c r="E12" s="140" t="s">
        <v>2951</v>
      </c>
    </row>
    <row r="13" spans="1:6">
      <c r="A13" s="131" t="s">
        <v>2955</v>
      </c>
    </row>
    <row r="14" spans="1:6">
      <c r="A14" s="131" t="s">
        <v>1657</v>
      </c>
    </row>
    <row r="16" spans="1:6" s="95" customFormat="1" ht="20.100000000000001" customHeight="1">
      <c r="A16" s="90" t="s">
        <v>1113</v>
      </c>
      <c r="B16" s="90" t="s">
        <v>1114</v>
      </c>
      <c r="C16" s="92" t="s">
        <v>14</v>
      </c>
      <c r="D16" s="90"/>
      <c r="E16" s="93"/>
      <c r="F16" s="94" t="s">
        <v>13</v>
      </c>
    </row>
    <row r="18" spans="1:6">
      <c r="C18" s="95" t="s">
        <v>2956</v>
      </c>
    </row>
    <row r="19" spans="1:6">
      <c r="A19" s="158"/>
      <c r="B19" s="141"/>
      <c r="C19" s="95"/>
    </row>
    <row r="20" spans="1:6">
      <c r="A20" s="158" t="s">
        <v>2957</v>
      </c>
      <c r="B20" s="158" t="s">
        <v>2958</v>
      </c>
      <c r="C20" s="131" t="s">
        <v>2959</v>
      </c>
      <c r="F20" s="131">
        <f>200*29</f>
        <v>5800</v>
      </c>
    </row>
    <row r="22" spans="1:6">
      <c r="C22" s="131" t="s">
        <v>2880</v>
      </c>
      <c r="F22" s="131">
        <v>1329.35</v>
      </c>
    </row>
    <row r="23" spans="1:6">
      <c r="A23" s="141"/>
      <c r="B23" s="158"/>
    </row>
    <row r="24" spans="1:6">
      <c r="A24" s="158"/>
      <c r="B24" s="158"/>
    </row>
    <row r="25" spans="1:6">
      <c r="A25" s="158"/>
      <c r="B25" s="158"/>
    </row>
    <row r="26" spans="1:6">
      <c r="A26" s="158"/>
      <c r="B26" s="158"/>
    </row>
    <row r="27" spans="1:6">
      <c r="A27" s="141"/>
      <c r="B27" s="141"/>
    </row>
    <row r="28" spans="1:6">
      <c r="A28" s="158"/>
      <c r="B28" s="158"/>
      <c r="C28" s="110"/>
    </row>
    <row r="29" spans="1:6">
      <c r="F29" s="110"/>
    </row>
    <row r="30" spans="1:6">
      <c r="A30" s="158"/>
      <c r="B30" s="158"/>
    </row>
    <row r="31" spans="1:6">
      <c r="B31" s="140"/>
    </row>
    <row r="33" spans="1:6" ht="13.5" thickBot="1">
      <c r="F33" s="164">
        <f>SUM(F18:F32)</f>
        <v>7129.35</v>
      </c>
    </row>
    <row r="34" spans="1:6" ht="13.5" thickTop="1"/>
    <row r="35" spans="1:6" ht="20.100000000000001" customHeight="1">
      <c r="A35" s="13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Seven Thousand One Hundred Twenty-Nine and 35/100 -----------</v>
      </c>
      <c r="C35" s="139"/>
      <c r="D35" s="139"/>
      <c r="E35" s="139"/>
      <c r="F35" s="262"/>
    </row>
    <row r="36" spans="1:6">
      <c r="A36" s="140"/>
    </row>
    <row r="37" spans="1:6" ht="25.5">
      <c r="A37" s="143" t="s">
        <v>10</v>
      </c>
      <c r="D37" s="265" t="s">
        <v>2894</v>
      </c>
      <c r="E37" s="266"/>
      <c r="F37" s="267"/>
    </row>
    <row r="38" spans="1:6">
      <c r="A38" s="143"/>
    </row>
    <row r="39" spans="1:6">
      <c r="A39" s="147"/>
    </row>
    <row r="40" spans="1:6">
      <c r="A40" s="143"/>
      <c r="C40" s="141"/>
    </row>
    <row r="41" spans="1:6">
      <c r="A41" s="248"/>
      <c r="B41" s="142"/>
    </row>
    <row r="42" spans="1:6">
      <c r="A42" s="143"/>
    </row>
    <row r="43" spans="1:6">
      <c r="A43" s="143" t="s">
        <v>8</v>
      </c>
      <c r="D43" s="143" t="s">
        <v>7</v>
      </c>
      <c r="F43" s="144"/>
    </row>
    <row r="44" spans="1:6">
      <c r="A44" s="143"/>
    </row>
    <row r="45" spans="1:6">
      <c r="A45" s="143"/>
    </row>
    <row r="46" spans="1:6">
      <c r="A46" s="143"/>
    </row>
    <row r="47" spans="1:6">
      <c r="A47" s="248"/>
      <c r="B47" s="142"/>
      <c r="D47" s="142"/>
      <c r="E47" s="142"/>
      <c r="F47" s="142"/>
    </row>
    <row r="48" spans="1:6" s="147" customFormat="1" ht="17.100000000000001" customHeight="1">
      <c r="A48" s="145" t="s">
        <v>2948</v>
      </c>
      <c r="B48" s="146"/>
      <c r="D48" s="147" t="s">
        <v>3</v>
      </c>
    </row>
    <row r="49" spans="1:4">
      <c r="A49" s="143"/>
      <c r="D49" s="131" t="s">
        <v>2</v>
      </c>
    </row>
    <row r="50" spans="1:4">
      <c r="A50" s="145"/>
    </row>
    <row r="51" spans="1:4">
      <c r="D51" s="110" t="s">
        <v>1</v>
      </c>
    </row>
    <row r="52" spans="1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95">
    <pageSetUpPr fitToPage="1"/>
  </sheetPr>
  <dimension ref="A1:H54"/>
  <sheetViews>
    <sheetView topLeftCell="A16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1.140625" style="1" customWidth="1"/>
    <col min="4" max="4" width="23" style="1" customWidth="1"/>
    <col min="5" max="5" width="0.85546875" style="1" customWidth="1"/>
    <col min="6" max="6" width="15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32" t="s">
        <v>4839</v>
      </c>
      <c r="H9" s="111"/>
    </row>
    <row r="10" spans="1:8">
      <c r="A10" s="111" t="s">
        <v>4841</v>
      </c>
      <c r="B10" s="111"/>
      <c r="C10" s="111"/>
      <c r="D10" s="111"/>
      <c r="E10" s="111"/>
      <c r="F10" s="112" t="s">
        <v>1162</v>
      </c>
      <c r="G10" s="132" t="s">
        <v>4838</v>
      </c>
      <c r="H10" s="111"/>
    </row>
    <row r="11" spans="1:8">
      <c r="A11" s="111" t="s">
        <v>4842</v>
      </c>
      <c r="B11" s="111"/>
      <c r="C11" s="111"/>
      <c r="D11" s="111"/>
      <c r="E11" s="111"/>
      <c r="F11" s="112" t="s">
        <v>1163</v>
      </c>
      <c r="G11" s="132" t="s">
        <v>1094</v>
      </c>
      <c r="H11" s="111"/>
    </row>
    <row r="12" spans="1:8">
      <c r="A12" s="111" t="s">
        <v>3788</v>
      </c>
      <c r="B12" s="111"/>
      <c r="C12" s="111"/>
      <c r="D12" s="111"/>
      <c r="E12" s="111"/>
      <c r="F12" s="112" t="s">
        <v>1096</v>
      </c>
      <c r="G12" s="120" t="s">
        <v>4840</v>
      </c>
      <c r="H12" s="111"/>
    </row>
    <row r="13" spans="1:8">
      <c r="A13" s="111" t="s">
        <v>3789</v>
      </c>
      <c r="B13" s="111"/>
      <c r="C13" s="111"/>
      <c r="D13" s="111"/>
      <c r="E13" s="111"/>
      <c r="F13" s="111"/>
      <c r="G13" s="131"/>
      <c r="H13" s="111"/>
    </row>
    <row r="14" spans="1:8">
      <c r="A14" s="111" t="s">
        <v>4843</v>
      </c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2" t="s">
        <v>3176</v>
      </c>
      <c r="E18" s="111"/>
      <c r="F18" s="111"/>
      <c r="G18" s="111"/>
      <c r="H18" s="111"/>
    </row>
    <row r="19" spans="1:8">
      <c r="B19" s="116"/>
      <c r="C19" s="116"/>
      <c r="D19" s="111"/>
      <c r="E19" s="111"/>
      <c r="F19" s="111"/>
      <c r="G19" s="111"/>
      <c r="H19" s="111"/>
    </row>
    <row r="20" spans="1:8">
      <c r="A20" s="116" t="s">
        <v>4831</v>
      </c>
      <c r="B20" s="116" t="s">
        <v>4844</v>
      </c>
      <c r="C20" s="111"/>
      <c r="D20" s="111" t="s">
        <v>4845</v>
      </c>
      <c r="E20" s="111"/>
      <c r="F20" s="111"/>
      <c r="G20" s="111"/>
      <c r="H20" s="111">
        <v>15000</v>
      </c>
    </row>
    <row r="21" spans="1:8">
      <c r="A21" s="112"/>
      <c r="B21" s="111"/>
      <c r="C21" s="111"/>
      <c r="D21" s="111" t="s">
        <v>1814</v>
      </c>
      <c r="E21" s="111"/>
      <c r="F21" s="111"/>
      <c r="G21" s="111"/>
      <c r="H21" s="111">
        <f>H20*6%</f>
        <v>900</v>
      </c>
    </row>
    <row r="22" spans="1:8">
      <c r="A22" s="112"/>
      <c r="B22" s="111"/>
      <c r="C22" s="111"/>
      <c r="D22" s="111"/>
      <c r="E22" s="111"/>
      <c r="F22" s="111"/>
      <c r="G22" s="111"/>
      <c r="H22" s="111"/>
    </row>
    <row r="23" spans="1:8">
      <c r="A23" s="111"/>
      <c r="B23" s="111"/>
      <c r="C23" s="111"/>
      <c r="D23" s="111"/>
      <c r="E23" s="111"/>
      <c r="F23" s="111"/>
      <c r="G23" s="111"/>
      <c r="H23" s="111"/>
    </row>
    <row r="24" spans="1:8">
      <c r="A24" s="111"/>
      <c r="B24" s="111"/>
      <c r="C24" s="111"/>
      <c r="D24" s="111"/>
      <c r="E24" s="111"/>
      <c r="F24" s="111"/>
      <c r="G24" s="111"/>
      <c r="H24" s="111"/>
    </row>
    <row r="25" spans="1:8">
      <c r="A25" s="111"/>
      <c r="B25" s="111"/>
      <c r="C25" s="111"/>
      <c r="D25" s="111"/>
      <c r="E25" s="111"/>
      <c r="F25" s="111"/>
      <c r="G25" s="111"/>
      <c r="H25" s="111"/>
    </row>
    <row r="26" spans="1:8">
      <c r="A26" s="111"/>
      <c r="B26" s="111"/>
      <c r="C26" s="111"/>
      <c r="D26" s="111"/>
      <c r="E26" s="111"/>
      <c r="F26" s="111"/>
      <c r="G26" s="111"/>
      <c r="H26" s="111"/>
    </row>
    <row r="27" spans="1:8">
      <c r="A27" s="111"/>
      <c r="D27" s="111"/>
      <c r="H27" s="111"/>
    </row>
    <row r="28" spans="1:8">
      <c r="A28" s="112"/>
      <c r="B28" s="167"/>
      <c r="C28" s="167"/>
    </row>
    <row r="29" spans="1:8">
      <c r="A29" s="111"/>
      <c r="B29" s="111"/>
      <c r="C29" s="111"/>
      <c r="D29" s="111"/>
      <c r="E29" s="111"/>
      <c r="F29" s="111"/>
      <c r="G29" s="111"/>
      <c r="H29" s="111"/>
    </row>
    <row r="30" spans="1:8">
      <c r="A30" s="111"/>
      <c r="B30" s="111"/>
      <c r="C30" s="111"/>
      <c r="D30" s="111"/>
      <c r="E30" s="111"/>
      <c r="F30" s="111"/>
      <c r="G30" s="111"/>
      <c r="H30" s="111"/>
    </row>
    <row r="31" spans="1:8">
      <c r="A31" s="111"/>
      <c r="B31" s="111"/>
      <c r="C31" s="111"/>
      <c r="D31" s="111"/>
      <c r="E31" s="111"/>
      <c r="F31" s="111"/>
      <c r="G31" s="111"/>
      <c r="H31" s="111"/>
    </row>
    <row r="32" spans="1:8">
      <c r="A32" s="111"/>
      <c r="B32" s="111"/>
      <c r="C32" s="111"/>
      <c r="D32" s="111"/>
      <c r="E32" s="111"/>
      <c r="F32" s="111"/>
      <c r="G32" s="111"/>
    </row>
    <row r="33" spans="1:8" ht="13.5" thickBot="1">
      <c r="A33" s="111"/>
      <c r="B33" s="111"/>
      <c r="C33" s="111"/>
      <c r="D33" s="111"/>
      <c r="E33" s="111"/>
      <c r="F33" s="111"/>
      <c r="G33" s="111"/>
      <c r="H33" s="117">
        <f>SUM(H20:H32)</f>
        <v>15900</v>
      </c>
    </row>
    <row r="34" spans="1:8" ht="13.5" thickTop="1">
      <c r="A34" s="111"/>
      <c r="B34" s="111"/>
      <c r="C34" s="111"/>
      <c r="D34" s="111"/>
      <c r="E34" s="111"/>
      <c r="F34" s="111"/>
      <c r="G34" s="111"/>
      <c r="H34" s="111"/>
    </row>
    <row r="35" spans="1:8" ht="20.100000000000001" customHeight="1">
      <c r="A35" s="118" t="s">
        <v>1133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Fifteen Thousand Nine Hundred and NO/100 -----------</v>
      </c>
      <c r="C35" s="202"/>
      <c r="D35" s="119"/>
      <c r="E35" s="119"/>
      <c r="F35" s="119"/>
      <c r="G35" s="119"/>
      <c r="H35" s="119"/>
    </row>
    <row r="36" spans="1:8">
      <c r="A36" s="120" t="s">
        <v>11</v>
      </c>
      <c r="B36" s="111"/>
      <c r="C36" s="111"/>
      <c r="D36" s="111"/>
      <c r="E36" s="111"/>
      <c r="F36" s="111"/>
      <c r="G36" s="111"/>
      <c r="H36" s="111"/>
    </row>
    <row r="37" spans="1:8" ht="25.5">
      <c r="A37" s="111" t="s">
        <v>10</v>
      </c>
      <c r="B37" s="111"/>
      <c r="C37" s="111"/>
      <c r="D37" s="111"/>
      <c r="E37" s="111"/>
      <c r="F37" s="265" t="s">
        <v>2894</v>
      </c>
      <c r="G37" s="266"/>
      <c r="H37" s="267"/>
    </row>
    <row r="38" spans="1:8">
      <c r="A38" s="111"/>
      <c r="B38" s="111"/>
      <c r="C38" s="111"/>
      <c r="D38" s="111"/>
      <c r="E38" s="111"/>
      <c r="F38" s="111"/>
      <c r="G38" s="111"/>
      <c r="H38" s="111"/>
    </row>
    <row r="39" spans="1:8">
      <c r="A39" s="126"/>
      <c r="B39" s="111"/>
      <c r="C39" s="111"/>
      <c r="D39" s="111"/>
      <c r="E39" s="111"/>
    </row>
    <row r="40" spans="1:8">
      <c r="A40" s="111"/>
      <c r="B40" s="111"/>
      <c r="C40" s="111"/>
      <c r="D40" s="121"/>
      <c r="E40" s="121"/>
      <c r="F40" s="111"/>
      <c r="G40" s="111"/>
      <c r="H40" s="111"/>
    </row>
    <row r="41" spans="1:8">
      <c r="A41" s="122"/>
      <c r="B41" s="122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3" t="s">
        <v>8</v>
      </c>
      <c r="B43" s="111"/>
      <c r="C43" s="111"/>
      <c r="D43" s="123" t="s">
        <v>8</v>
      </c>
      <c r="E43" s="111"/>
      <c r="F43" s="123" t="s">
        <v>7</v>
      </c>
      <c r="G43" s="111"/>
      <c r="H43" s="124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11"/>
      <c r="B45" s="111"/>
      <c r="C45" s="111"/>
      <c r="D45" s="111"/>
      <c r="E45" s="111"/>
      <c r="F45" s="111"/>
      <c r="G45" s="111"/>
      <c r="H45" s="111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22"/>
      <c r="B47" s="122"/>
      <c r="C47" s="111"/>
      <c r="D47" s="122"/>
      <c r="E47" s="111"/>
      <c r="F47" s="122"/>
      <c r="G47" s="122"/>
      <c r="H47" s="122"/>
    </row>
    <row r="48" spans="1:8" s="3" customFormat="1" ht="17.100000000000001" customHeight="1">
      <c r="A48" s="151" t="s">
        <v>2948</v>
      </c>
      <c r="B48" s="125"/>
      <c r="C48" s="125"/>
      <c r="D48" s="151" t="s">
        <v>103</v>
      </c>
      <c r="E48" s="126"/>
      <c r="F48" s="126" t="s">
        <v>3</v>
      </c>
      <c r="G48" s="126"/>
      <c r="H48" s="126"/>
    </row>
    <row r="49" spans="1:8">
      <c r="A49" s="111"/>
      <c r="B49" s="111"/>
      <c r="C49" s="111"/>
      <c r="D49" s="111"/>
      <c r="E49" s="111"/>
      <c r="F49" s="111" t="s">
        <v>2</v>
      </c>
      <c r="G49" s="111"/>
      <c r="H49" s="111"/>
    </row>
    <row r="50" spans="1:8">
      <c r="A50" s="151"/>
      <c r="B50" s="111"/>
      <c r="C50" s="111"/>
      <c r="D50" s="111"/>
      <c r="E50" s="111"/>
      <c r="F50" s="111"/>
      <c r="G50" s="111"/>
      <c r="H50" s="111"/>
    </row>
    <row r="51" spans="1:8">
      <c r="A51" s="111"/>
      <c r="B51" s="111"/>
      <c r="C51" s="111"/>
      <c r="D51" s="111"/>
      <c r="E51" s="111"/>
      <c r="F51" s="2" t="s">
        <v>1</v>
      </c>
      <c r="G51" s="111"/>
      <c r="H51" s="111"/>
    </row>
    <row r="52" spans="1:8">
      <c r="A52" s="111"/>
      <c r="B52" s="111"/>
      <c r="C52" s="111"/>
      <c r="D52" s="111"/>
      <c r="E52" s="111"/>
      <c r="F52" s="2" t="s">
        <v>0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3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1-000000000000}">
  <sheetPr codeName="Sheet125">
    <pageSetUpPr fitToPage="1"/>
  </sheetPr>
  <dimension ref="A1:F51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472</v>
      </c>
    </row>
    <row r="10" spans="1:6">
      <c r="A10" s="1" t="s">
        <v>471</v>
      </c>
      <c r="D10" s="21" t="s">
        <v>21</v>
      </c>
      <c r="E10" s="21" t="s">
        <v>470</v>
      </c>
    </row>
    <row r="11" spans="1:6">
      <c r="A11" s="1" t="s">
        <v>469</v>
      </c>
      <c r="D11" s="21" t="s">
        <v>19</v>
      </c>
      <c r="E11" s="21" t="s">
        <v>18</v>
      </c>
    </row>
    <row r="12" spans="1:6">
      <c r="A12" s="1" t="s">
        <v>468</v>
      </c>
      <c r="D12" s="21" t="s">
        <v>17</v>
      </c>
      <c r="E12" s="21" t="s">
        <v>467</v>
      </c>
    </row>
    <row r="13" spans="1:6">
      <c r="A13" s="1" t="s">
        <v>466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3:6">
      <c r="C19" s="14" t="s">
        <v>465</v>
      </c>
    </row>
    <row r="20" spans="3:6">
      <c r="C20" s="14" t="s">
        <v>464</v>
      </c>
    </row>
    <row r="21" spans="3:6">
      <c r="C21" s="14"/>
    </row>
    <row r="23" spans="3:6">
      <c r="C23" s="1" t="s">
        <v>463</v>
      </c>
      <c r="F23" s="1">
        <v>2025</v>
      </c>
    </row>
    <row r="24" spans="3:6">
      <c r="C24" s="1" t="s">
        <v>462</v>
      </c>
      <c r="F24" s="1">
        <v>480</v>
      </c>
    </row>
    <row r="31" spans="3:6" ht="13.5" thickBot="1">
      <c r="F31" s="12">
        <f>SUM(F18:F30)</f>
        <v>2505</v>
      </c>
    </row>
    <row r="32" spans="3:6" ht="13.5" thickTop="1"/>
    <row r="33" spans="1:6" ht="13.5" thickBot="1">
      <c r="F33" s="12">
        <f>SUM(F20:F32)</f>
        <v>5010</v>
      </c>
    </row>
    <row r="34" spans="1:6" ht="20.100000000000001" customHeight="1" thickTop="1">
      <c r="A34" s="10" t="s">
        <v>461</v>
      </c>
      <c r="B34" s="10"/>
      <c r="C34" s="9"/>
      <c r="D34" s="9"/>
      <c r="E34" s="9"/>
      <c r="F34" s="9"/>
    </row>
    <row r="35" spans="1:6">
      <c r="A35" s="8" t="s">
        <v>11</v>
      </c>
    </row>
    <row r="36" spans="1:6">
      <c r="A36" s="1" t="s">
        <v>10</v>
      </c>
    </row>
    <row r="39" spans="1:6" ht="25.5">
      <c r="A39" s="3" t="s">
        <v>9</v>
      </c>
      <c r="C39" s="7"/>
      <c r="D39" s="265" t="s">
        <v>2894</v>
      </c>
      <c r="E39" s="266"/>
      <c r="F39" s="267"/>
    </row>
    <row r="42" spans="1:6">
      <c r="A42" s="6" t="s">
        <v>8</v>
      </c>
      <c r="D42" s="6" t="s">
        <v>7</v>
      </c>
      <c r="F42" s="5"/>
    </row>
    <row r="46" spans="1:6">
      <c r="A46" s="1" t="s">
        <v>6</v>
      </c>
      <c r="D46" s="1" t="s">
        <v>5</v>
      </c>
    </row>
    <row r="47" spans="1:6" s="3" customFormat="1" ht="17.100000000000001" customHeight="1">
      <c r="A47" s="4" t="s">
        <v>4</v>
      </c>
      <c r="B47" s="4"/>
      <c r="D47" s="3" t="s">
        <v>3</v>
      </c>
    </row>
    <row r="48" spans="1:6">
      <c r="D48" s="1" t="s">
        <v>2</v>
      </c>
    </row>
    <row r="50" spans="1:4">
      <c r="A50" s="273" t="s">
        <v>2948</v>
      </c>
      <c r="D50" s="2" t="s">
        <v>1</v>
      </c>
    </row>
    <row r="51" spans="1:4">
      <c r="D51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1-000000000000}">
  <sheetPr codeName="Sheet306">
    <pageSetUpPr fitToPage="1"/>
  </sheetPr>
  <dimension ref="A1:F54"/>
  <sheetViews>
    <sheetView topLeftCell="A7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5118</v>
      </c>
      <c r="F9" s="111"/>
    </row>
    <row r="10" spans="1:6">
      <c r="A10" s="111"/>
      <c r="B10" s="111"/>
      <c r="C10" s="111"/>
      <c r="D10" s="112" t="s">
        <v>1162</v>
      </c>
      <c r="E10" s="112" t="s">
        <v>5117</v>
      </c>
      <c r="F10" s="111"/>
    </row>
    <row r="11" spans="1:6">
      <c r="A11" s="111" t="s">
        <v>2626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2627</v>
      </c>
      <c r="B12" s="111"/>
      <c r="C12" s="111"/>
      <c r="D12" s="112" t="s">
        <v>1135</v>
      </c>
      <c r="E12" s="120" t="s">
        <v>5119</v>
      </c>
      <c r="F12" s="111"/>
    </row>
    <row r="13" spans="1:6">
      <c r="A13" s="111" t="s">
        <v>2628</v>
      </c>
      <c r="B13" s="111"/>
      <c r="C13" s="111"/>
      <c r="D13" s="111"/>
      <c r="E13" s="111"/>
      <c r="F13" s="111"/>
    </row>
    <row r="14" spans="1:6">
      <c r="A14" s="111" t="s">
        <v>2629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168" t="s">
        <v>5120</v>
      </c>
      <c r="D18" s="111"/>
      <c r="E18" s="111"/>
      <c r="F18" s="111"/>
    </row>
    <row r="20" spans="1:6">
      <c r="A20" s="116" t="s">
        <v>5105</v>
      </c>
      <c r="B20" s="116" t="s">
        <v>5121</v>
      </c>
      <c r="C20" s="120" t="s">
        <v>5122</v>
      </c>
      <c r="D20" s="111"/>
      <c r="E20" s="111"/>
      <c r="F20" s="111">
        <v>100</v>
      </c>
    </row>
    <row r="21" spans="1:6">
      <c r="A21" s="116"/>
      <c r="C21" s="120"/>
      <c r="D21" s="111"/>
      <c r="E21" s="111"/>
      <c r="F21" s="111"/>
    </row>
    <row r="22" spans="1:6">
      <c r="A22" s="116"/>
      <c r="C22" s="120"/>
      <c r="E22" s="111"/>
      <c r="F22" s="111"/>
    </row>
    <row r="23" spans="1:6">
      <c r="C23" s="120"/>
      <c r="E23" s="111"/>
      <c r="F23" s="111"/>
    </row>
    <row r="24" spans="1:6">
      <c r="A24" s="116"/>
      <c r="B24" s="116"/>
      <c r="C24" s="120"/>
      <c r="D24" s="111"/>
      <c r="E24" s="111"/>
      <c r="F24" s="111"/>
    </row>
    <row r="25" spans="1:6">
      <c r="A25" s="116"/>
      <c r="B25" s="116"/>
      <c r="C25" s="111"/>
      <c r="D25" s="111"/>
      <c r="E25" s="111"/>
      <c r="F25" s="111"/>
    </row>
    <row r="26" spans="1:6">
      <c r="A26" s="116"/>
      <c r="B26" s="116"/>
      <c r="C26" s="168"/>
      <c r="D26" s="111"/>
      <c r="E26" s="111"/>
      <c r="F26" s="111"/>
    </row>
    <row r="27" spans="1:6">
      <c r="A27" s="116"/>
      <c r="B27" s="116"/>
      <c r="C27" s="120"/>
      <c r="D27" s="111"/>
      <c r="E27" s="111"/>
      <c r="F27" s="111"/>
    </row>
    <row r="28" spans="1:6">
      <c r="A28" s="116"/>
      <c r="B28" s="120"/>
      <c r="C28" s="111"/>
      <c r="D28" s="111"/>
      <c r="E28" s="111"/>
      <c r="F28" s="111"/>
    </row>
    <row r="29" spans="1:6">
      <c r="A29" s="116"/>
      <c r="B29" s="120"/>
      <c r="C29" s="2"/>
      <c r="D29" s="111"/>
      <c r="E29" s="111"/>
      <c r="F29" s="111"/>
    </row>
    <row r="30" spans="1:6">
      <c r="B30" s="120"/>
      <c r="C30" s="111"/>
      <c r="D30" s="111"/>
      <c r="E30" s="111"/>
      <c r="F30" s="111"/>
    </row>
    <row r="31" spans="1:6">
      <c r="A31" s="116"/>
      <c r="B31" s="116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100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Hundred and NO/100 -----------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 ht="25.5">
      <c r="A37" s="111" t="s">
        <v>10</v>
      </c>
      <c r="B37" s="111"/>
      <c r="C37" s="111"/>
      <c r="D37" s="265" t="s">
        <v>2894</v>
      </c>
      <c r="E37" s="266"/>
      <c r="F37" s="267"/>
    </row>
    <row r="38" spans="1:6">
      <c r="A38" s="111"/>
      <c r="B38" s="111"/>
      <c r="C38" s="111"/>
      <c r="D38" s="111"/>
      <c r="E38" s="111"/>
      <c r="F38" s="111"/>
    </row>
    <row r="39" spans="1:6">
      <c r="A39" s="126"/>
      <c r="B39" s="111"/>
      <c r="C39" s="111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B42" s="111"/>
      <c r="C42" s="111"/>
      <c r="D42" s="111"/>
      <c r="E42" s="111"/>
      <c r="F42" s="111"/>
    </row>
    <row r="43" spans="1:6">
      <c r="A43" s="123" t="s">
        <v>8</v>
      </c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51" t="s">
        <v>2948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/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7B0F9-DC70-4DB3-899C-8093BC78024E}">
  <sheetPr>
    <tabColor rgb="FFFFFF00"/>
  </sheetPr>
  <dimension ref="A1:Q54"/>
  <sheetViews>
    <sheetView zoomScaleNormal="100" workbookViewId="0">
      <selection activeCell="F21" sqref="F21"/>
    </sheetView>
  </sheetViews>
  <sheetFormatPr defaultRowHeight="12.75"/>
  <cols>
    <col min="1" max="1" width="16.28515625" style="483" customWidth="1"/>
    <col min="2" max="2" width="12.28515625" style="483" customWidth="1"/>
    <col min="3" max="3" width="0.85546875" style="483" customWidth="1"/>
    <col min="4" max="4" width="22.42578125" style="483" customWidth="1"/>
    <col min="5" max="5" width="0.85546875" style="483" customWidth="1"/>
    <col min="6" max="6" width="13.140625" style="483" customWidth="1"/>
    <col min="7" max="7" width="10.5703125" style="483" customWidth="1"/>
    <col min="8" max="8" width="13.140625" style="483" customWidth="1"/>
    <col min="9" max="16384" width="9.140625" style="483"/>
  </cols>
  <sheetData>
    <row r="1" spans="1:14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4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4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4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4">
      <c r="A8" s="483" t="s">
        <v>24</v>
      </c>
      <c r="F8" s="22" t="s">
        <v>23</v>
      </c>
      <c r="J8" s="483" t="s">
        <v>7087</v>
      </c>
      <c r="K8" s="483">
        <v>44165</v>
      </c>
      <c r="L8" s="483" t="s">
        <v>7088</v>
      </c>
    </row>
    <row r="9" spans="1:14">
      <c r="F9" s="484" t="s">
        <v>1134</v>
      </c>
      <c r="G9" s="483" t="s">
        <v>7106</v>
      </c>
    </row>
    <row r="10" spans="1:14">
      <c r="A10" s="483" t="s">
        <v>7108</v>
      </c>
      <c r="F10" s="484" t="s">
        <v>1180</v>
      </c>
      <c r="G10" s="487" t="s">
        <v>7105</v>
      </c>
      <c r="J10" s="483" t="s">
        <v>6479</v>
      </c>
      <c r="N10" s="483">
        <v>1360</v>
      </c>
    </row>
    <row r="11" spans="1:14">
      <c r="A11" s="483" t="s">
        <v>7109</v>
      </c>
      <c r="F11" s="484" t="s">
        <v>1181</v>
      </c>
      <c r="G11" s="484" t="s">
        <v>1094</v>
      </c>
      <c r="J11" s="486" t="s">
        <v>6480</v>
      </c>
      <c r="K11" s="486"/>
    </row>
    <row r="12" spans="1:14">
      <c r="A12" s="483" t="s">
        <v>3624</v>
      </c>
      <c r="F12" s="484" t="s">
        <v>1182</v>
      </c>
      <c r="G12" s="486" t="s">
        <v>7107</v>
      </c>
      <c r="J12" s="486" t="s">
        <v>6481</v>
      </c>
      <c r="K12" s="486"/>
    </row>
    <row r="13" spans="1:14">
      <c r="A13" s="483" t="s">
        <v>1287</v>
      </c>
      <c r="G13" s="488" t="s">
        <v>6182</v>
      </c>
    </row>
    <row r="14" spans="1:14">
      <c r="A14" s="483" t="s">
        <v>7110</v>
      </c>
      <c r="J14" s="483" t="s">
        <v>6482</v>
      </c>
      <c r="N14" s="483">
        <v>1188</v>
      </c>
    </row>
    <row r="15" spans="1:14">
      <c r="J15" s="483" t="s">
        <v>6483</v>
      </c>
    </row>
    <row r="16" spans="1:14" s="15" customFormat="1" ht="20.100000000000001" customHeight="1">
      <c r="A16" s="18" t="s">
        <v>1193</v>
      </c>
      <c r="B16" s="525" t="s">
        <v>1098</v>
      </c>
      <c r="C16" s="525"/>
      <c r="D16" s="19" t="s">
        <v>14</v>
      </c>
      <c r="E16" s="19"/>
      <c r="F16" s="18"/>
      <c r="G16" s="17"/>
      <c r="H16" s="16" t="s">
        <v>13</v>
      </c>
      <c r="J16" s="483" t="s">
        <v>6484</v>
      </c>
      <c r="K16" s="483"/>
      <c r="L16" s="483"/>
      <c r="M16" s="483"/>
      <c r="N16" s="483">
        <v>-600</v>
      </c>
    </row>
    <row r="18" spans="1:17">
      <c r="A18" s="485"/>
      <c r="B18" s="485"/>
      <c r="C18" s="485"/>
      <c r="D18" s="482" t="s">
        <v>7115</v>
      </c>
      <c r="E18" s="482"/>
    </row>
    <row r="19" spans="1:17">
      <c r="A19" s="485"/>
      <c r="B19" s="416"/>
      <c r="C19" s="416"/>
      <c r="J19" s="485" t="s">
        <v>6921</v>
      </c>
      <c r="K19" s="416" t="s">
        <v>6922</v>
      </c>
      <c r="L19" s="416"/>
      <c r="M19" s="483" t="s">
        <v>6923</v>
      </c>
      <c r="Q19" s="483">
        <v>3000</v>
      </c>
    </row>
    <row r="20" spans="1:17">
      <c r="A20" s="485" t="s">
        <v>7111</v>
      </c>
      <c r="B20" s="485" t="s">
        <v>7112</v>
      </c>
      <c r="D20" s="486" t="s">
        <v>7113</v>
      </c>
      <c r="E20" s="486"/>
      <c r="H20" s="483">
        <v>1000</v>
      </c>
      <c r="M20" s="486" t="s">
        <v>6924</v>
      </c>
      <c r="N20" s="486"/>
    </row>
    <row r="21" spans="1:17">
      <c r="D21" s="486" t="s">
        <v>7114</v>
      </c>
      <c r="E21" s="486"/>
      <c r="M21" s="486" t="s">
        <v>6929</v>
      </c>
      <c r="N21" s="486"/>
    </row>
    <row r="22" spans="1:17">
      <c r="A22" s="485"/>
      <c r="B22" s="485"/>
      <c r="C22" s="485"/>
      <c r="J22" s="485"/>
      <c r="K22" s="485"/>
      <c r="L22" s="485"/>
    </row>
    <row r="23" spans="1:17">
      <c r="A23" s="485"/>
      <c r="B23" s="416"/>
      <c r="C23" s="121"/>
      <c r="J23" s="485" t="s">
        <v>6921</v>
      </c>
      <c r="K23" s="416" t="s">
        <v>6925</v>
      </c>
      <c r="L23" s="121"/>
      <c r="M23" s="483" t="s">
        <v>6926</v>
      </c>
      <c r="Q23" s="483">
        <f>3760/2</f>
        <v>1880</v>
      </c>
    </row>
    <row r="24" spans="1:17">
      <c r="A24" s="485"/>
      <c r="B24" s="485"/>
      <c r="C24" s="485"/>
      <c r="J24" s="485"/>
      <c r="K24" s="485"/>
      <c r="L24" s="485"/>
      <c r="M24" s="483" t="s">
        <v>6927</v>
      </c>
    </row>
    <row r="25" spans="1:17">
      <c r="M25" s="483" t="s">
        <v>6928</v>
      </c>
    </row>
    <row r="26" spans="1:17">
      <c r="A26" s="485"/>
      <c r="B26" s="485"/>
      <c r="C26" s="485"/>
      <c r="J26" s="485"/>
      <c r="K26" s="485"/>
      <c r="L26" s="485"/>
    </row>
    <row r="27" spans="1:17">
      <c r="A27" s="485"/>
      <c r="B27" s="416"/>
    </row>
    <row r="28" spans="1:17">
      <c r="A28" s="485"/>
      <c r="B28" s="121"/>
      <c r="C28" s="121"/>
      <c r="D28" s="486"/>
    </row>
    <row r="29" spans="1:17">
      <c r="A29" s="485"/>
      <c r="B29" s="121"/>
      <c r="C29" s="121"/>
      <c r="D29" s="486"/>
      <c r="L29" s="483" t="s">
        <v>6997</v>
      </c>
      <c r="P29" s="483">
        <f>2125/2</f>
        <v>1062.5</v>
      </c>
    </row>
    <row r="30" spans="1:17">
      <c r="A30" s="255"/>
      <c r="B30" s="121"/>
      <c r="C30" s="121"/>
      <c r="L30" s="486" t="s">
        <v>6998</v>
      </c>
      <c r="M30" s="486"/>
    </row>
    <row r="31" spans="1:17">
      <c r="L31" s="486"/>
      <c r="M31" s="486"/>
    </row>
    <row r="32" spans="1:17">
      <c r="L32" s="483" t="s">
        <v>6923</v>
      </c>
    </row>
    <row r="33" spans="1:12">
      <c r="A33" s="485"/>
      <c r="B33" s="121"/>
      <c r="C33" s="121"/>
      <c r="L33" s="486" t="s">
        <v>6924</v>
      </c>
    </row>
    <row r="34" spans="1:12">
      <c r="A34" s="485"/>
      <c r="B34" s="121"/>
      <c r="C34" s="121"/>
      <c r="H34" s="122"/>
      <c r="L34" s="486" t="s">
        <v>6929</v>
      </c>
    </row>
    <row r="35" spans="1:12" ht="13.5" thickBot="1">
      <c r="B35" s="121"/>
      <c r="C35" s="121"/>
      <c r="H35" s="127">
        <f>SUM(H18:H33)</f>
        <v>1000</v>
      </c>
    </row>
    <row r="36" spans="1:12" ht="13.5" thickTop="1">
      <c r="L36" s="483" t="s">
        <v>6926</v>
      </c>
    </row>
    <row r="37" spans="1:12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and NO/100 -----------</v>
      </c>
      <c r="C37" s="202"/>
      <c r="D37" s="119"/>
      <c r="E37" s="119"/>
      <c r="F37" s="119"/>
      <c r="G37" s="119"/>
      <c r="H37" s="119"/>
      <c r="L37" s="483" t="s">
        <v>6927</v>
      </c>
    </row>
    <row r="38" spans="1:12">
      <c r="A38" s="486" t="s">
        <v>11</v>
      </c>
      <c r="L38" s="483" t="s">
        <v>6928</v>
      </c>
    </row>
    <row r="39" spans="1:12" ht="25.5">
      <c r="A39" s="126" t="s">
        <v>10</v>
      </c>
      <c r="F39" s="265" t="s">
        <v>2894</v>
      </c>
      <c r="G39" s="266"/>
      <c r="H39" s="267"/>
    </row>
    <row r="42" spans="1:12">
      <c r="A42" s="483" t="s">
        <v>52</v>
      </c>
      <c r="D42" s="121"/>
      <c r="E42" s="121"/>
    </row>
    <row r="43" spans="1:12">
      <c r="A43" s="122"/>
      <c r="B43" s="122"/>
      <c r="C43" s="433"/>
    </row>
    <row r="45" spans="1:12">
      <c r="A45" s="487" t="s">
        <v>8</v>
      </c>
      <c r="D45" s="487" t="s">
        <v>8</v>
      </c>
      <c r="F45" s="487" t="s">
        <v>7</v>
      </c>
      <c r="H45" s="124"/>
    </row>
    <row r="49" spans="1:8">
      <c r="A49" s="122" t="s">
        <v>51</v>
      </c>
      <c r="B49" s="122"/>
      <c r="C49" s="433"/>
      <c r="D49" s="122" t="s">
        <v>51</v>
      </c>
      <c r="F49" s="122"/>
      <c r="G49" s="122"/>
      <c r="H49" s="122"/>
    </row>
    <row r="50" spans="1:8" s="126" customFormat="1" ht="17.100000000000001" customHeight="1">
      <c r="A50" s="151" t="s">
        <v>2948</v>
      </c>
      <c r="B50" s="125"/>
      <c r="C50" s="125"/>
      <c r="D50" s="151" t="s">
        <v>103</v>
      </c>
      <c r="F50" s="126" t="s">
        <v>3</v>
      </c>
    </row>
    <row r="51" spans="1:8">
      <c r="F51" s="483" t="s">
        <v>2</v>
      </c>
    </row>
    <row r="53" spans="1:8">
      <c r="F53" s="482" t="s">
        <v>1</v>
      </c>
    </row>
    <row r="54" spans="1:8">
      <c r="F54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90" orientation="portrait" r:id="rId1"/>
  <headerFooter alignWithMargins="0"/>
</worksheet>
</file>

<file path=xl/worksheets/sheet3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F6D9-8188-4A9A-AF4D-4790C4722F42}">
  <sheetPr>
    <pageSetUpPr fitToPage="1"/>
  </sheetPr>
  <dimension ref="A1:I54"/>
  <sheetViews>
    <sheetView topLeftCell="A7" workbookViewId="0">
      <selection activeCell="G9" sqref="G9:G13"/>
    </sheetView>
  </sheetViews>
  <sheetFormatPr defaultRowHeight="12.75"/>
  <cols>
    <col min="1" max="1" width="15.7109375" style="483" customWidth="1"/>
    <col min="2" max="2" width="14.140625" style="483" customWidth="1"/>
    <col min="3" max="3" width="1.5703125" style="483" customWidth="1"/>
    <col min="4" max="4" width="21" style="483" customWidth="1"/>
    <col min="5" max="5" width="1.140625" style="483" customWidth="1"/>
    <col min="6" max="6" width="13.5703125" style="483" customWidth="1"/>
    <col min="7" max="7" width="8.7109375" style="483" customWidth="1"/>
    <col min="8" max="8" width="13.28515625" style="483" customWidth="1"/>
    <col min="9" max="16384" width="9.140625" style="1"/>
  </cols>
  <sheetData>
    <row r="1" spans="1:9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9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9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9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9">
      <c r="A8" s="483" t="s">
        <v>24</v>
      </c>
      <c r="F8" s="22" t="s">
        <v>23</v>
      </c>
    </row>
    <row r="9" spans="1:9">
      <c r="F9" s="484" t="s">
        <v>3349</v>
      </c>
      <c r="G9" s="483" t="s">
        <v>7065</v>
      </c>
      <c r="I9" s="126"/>
    </row>
    <row r="10" spans="1:9">
      <c r="A10" s="483" t="s">
        <v>7067</v>
      </c>
      <c r="F10" s="484" t="s">
        <v>1340</v>
      </c>
      <c r="G10" s="487" t="s">
        <v>7063</v>
      </c>
      <c r="I10" s="160"/>
    </row>
    <row r="11" spans="1:9">
      <c r="A11" s="483" t="s">
        <v>7068</v>
      </c>
      <c r="F11" s="484" t="s">
        <v>3350</v>
      </c>
      <c r="G11" s="484" t="s">
        <v>1094</v>
      </c>
      <c r="I11" s="160"/>
    </row>
    <row r="12" spans="1:9">
      <c r="F12" s="484" t="s">
        <v>1188</v>
      </c>
      <c r="G12" s="484" t="s">
        <v>7066</v>
      </c>
      <c r="I12" s="160"/>
    </row>
    <row r="13" spans="1:9">
      <c r="G13" s="488" t="s">
        <v>7064</v>
      </c>
    </row>
    <row r="16" spans="1:9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8" spans="1:8">
      <c r="A18" s="485"/>
      <c r="B18" s="161"/>
      <c r="C18" s="161"/>
      <c r="D18" s="482" t="s">
        <v>3572</v>
      </c>
      <c r="E18" s="482"/>
    </row>
    <row r="19" spans="1:8">
      <c r="A19" s="485"/>
      <c r="B19" s="161"/>
      <c r="C19" s="161"/>
      <c r="D19" s="482"/>
      <c r="E19" s="482"/>
    </row>
    <row r="20" spans="1:8">
      <c r="A20" s="485" t="s">
        <v>7069</v>
      </c>
      <c r="B20" s="485"/>
      <c r="D20" s="483" t="s">
        <v>7070</v>
      </c>
      <c r="H20" s="483">
        <v>750</v>
      </c>
    </row>
    <row r="21" spans="1:8">
      <c r="A21" s="485"/>
      <c r="B21" s="485"/>
      <c r="C21" s="485"/>
      <c r="D21" s="486" t="s">
        <v>7071</v>
      </c>
    </row>
    <row r="22" spans="1:8">
      <c r="A22" s="485"/>
      <c r="B22" s="161"/>
      <c r="C22" s="161"/>
    </row>
    <row r="24" spans="1:8">
      <c r="A24" s="269"/>
      <c r="B24" s="125"/>
      <c r="E24" s="482"/>
    </row>
    <row r="26" spans="1:8">
      <c r="A26" s="485"/>
      <c r="B26" s="115"/>
      <c r="C26" s="115"/>
      <c r="H26" s="414"/>
    </row>
    <row r="27" spans="1:8">
      <c r="A27" s="485"/>
      <c r="B27" s="121"/>
      <c r="C27" s="121"/>
    </row>
    <row r="28" spans="1:8">
      <c r="A28" s="161"/>
      <c r="B28" s="485"/>
      <c r="C28" s="485"/>
    </row>
    <row r="29" spans="1:8">
      <c r="A29" s="161"/>
      <c r="B29" s="121"/>
      <c r="C29" s="121"/>
    </row>
    <row r="30" spans="1:8">
      <c r="A30" s="161"/>
      <c r="B30" s="485"/>
      <c r="C30" s="485"/>
      <c r="D30" s="482"/>
      <c r="E30" s="482"/>
      <c r="H30" s="149"/>
    </row>
    <row r="31" spans="1:8">
      <c r="A31" s="161"/>
      <c r="B31" s="485"/>
      <c r="C31" s="485"/>
      <c r="H31" s="149"/>
    </row>
    <row r="32" spans="1:8">
      <c r="A32" s="115"/>
      <c r="B32" s="121"/>
      <c r="C32" s="121"/>
    </row>
    <row r="34" spans="1:8">
      <c r="H34" s="35"/>
    </row>
    <row r="35" spans="1:8" ht="13.5" thickBot="1">
      <c r="H35" s="127">
        <f>SUM(H18:H33)</f>
        <v>750</v>
      </c>
    </row>
    <row r="36" spans="1:8" ht="13.5" thickTop="1"/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Seven Hundred Fifty and NO/100 -----------</v>
      </c>
      <c r="C37" s="202"/>
      <c r="D37" s="119"/>
      <c r="E37" s="119"/>
      <c r="F37" s="119"/>
      <c r="G37" s="119"/>
      <c r="H37" s="119"/>
    </row>
    <row r="38" spans="1:8" ht="20.100000000000001" customHeight="1">
      <c r="A38" s="160"/>
      <c r="B38" s="151"/>
      <c r="C38" s="151"/>
      <c r="D38" s="126"/>
      <c r="E38" s="126"/>
      <c r="F38" s="126"/>
      <c r="G38" s="126"/>
      <c r="H38" s="126"/>
    </row>
    <row r="39" spans="1:8" ht="25.5">
      <c r="A39" s="486" t="s">
        <v>3060</v>
      </c>
      <c r="F39" s="265" t="s">
        <v>2894</v>
      </c>
      <c r="G39" s="266"/>
      <c r="H39" s="267"/>
    </row>
    <row r="40" spans="1:8">
      <c r="F40" s="310"/>
      <c r="G40" s="311"/>
      <c r="H40" s="311"/>
    </row>
    <row r="41" spans="1:8">
      <c r="A41" s="1"/>
      <c r="D41" s="121"/>
      <c r="E41" s="121"/>
    </row>
    <row r="42" spans="1:8">
      <c r="A42" s="483" t="s">
        <v>52</v>
      </c>
      <c r="D42" s="121"/>
      <c r="E42" s="121"/>
    </row>
    <row r="43" spans="1:8">
      <c r="A43" s="122"/>
      <c r="B43" s="122"/>
    </row>
    <row r="45" spans="1:8">
      <c r="A45" s="487" t="s">
        <v>8</v>
      </c>
      <c r="D45" s="487" t="s">
        <v>8</v>
      </c>
      <c r="F45" s="487" t="s">
        <v>7</v>
      </c>
      <c r="H45" s="124"/>
    </row>
    <row r="49" spans="1:8">
      <c r="A49" s="122"/>
      <c r="B49" s="122"/>
      <c r="D49" s="122"/>
      <c r="F49" s="122"/>
      <c r="G49" s="122"/>
      <c r="H49" s="122"/>
    </row>
    <row r="50" spans="1:8" s="3" customFormat="1" ht="17.100000000000001" customHeight="1">
      <c r="A50" s="483" t="s">
        <v>3441</v>
      </c>
      <c r="B50" s="125"/>
      <c r="C50" s="125"/>
      <c r="D50" s="483" t="s">
        <v>103</v>
      </c>
      <c r="E50" s="126"/>
      <c r="F50" s="126" t="s">
        <v>3</v>
      </c>
      <c r="G50" s="126"/>
      <c r="H50" s="126"/>
    </row>
    <row r="51" spans="1:8">
      <c r="F51" s="483" t="s">
        <v>2</v>
      </c>
    </row>
    <row r="53" spans="1:8">
      <c r="F53" s="482" t="s">
        <v>1</v>
      </c>
    </row>
    <row r="54" spans="1:8">
      <c r="F54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3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18A5-0B86-4A17-A9E3-9BA691C40E4D}">
  <sheetPr codeName="Sheet527">
    <pageSetUpPr fitToPage="1"/>
  </sheetPr>
  <dimension ref="A1:H52"/>
  <sheetViews>
    <sheetView workbookViewId="0">
      <selection activeCell="G9" sqref="G9:G13"/>
    </sheetView>
  </sheetViews>
  <sheetFormatPr defaultRowHeight="12.75"/>
  <cols>
    <col min="1" max="1" width="16" style="111" customWidth="1"/>
    <col min="2" max="2" width="13.7109375" style="111" customWidth="1"/>
    <col min="3" max="3" width="1.28515625" style="111" customWidth="1"/>
    <col min="4" max="4" width="24" style="111" customWidth="1"/>
    <col min="5" max="5" width="1.5703125" style="111" customWidth="1"/>
    <col min="6" max="6" width="16.42578125" style="111" customWidth="1"/>
    <col min="7" max="7" width="9" style="111" customWidth="1"/>
    <col min="8" max="8" width="13.28515625" style="11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A9" s="111" t="s">
        <v>5209</v>
      </c>
      <c r="F9" s="112" t="s">
        <v>1110</v>
      </c>
      <c r="G9" s="132" t="s">
        <v>5207</v>
      </c>
    </row>
    <row r="10" spans="1:8">
      <c r="A10" s="111" t="s">
        <v>5210</v>
      </c>
      <c r="F10" s="112" t="s">
        <v>1685</v>
      </c>
      <c r="G10" s="132" t="s">
        <v>5206</v>
      </c>
    </row>
    <row r="11" spans="1:8">
      <c r="A11" s="111" t="s">
        <v>1149</v>
      </c>
      <c r="F11" s="112" t="s">
        <v>1163</v>
      </c>
      <c r="G11" s="132" t="s">
        <v>1094</v>
      </c>
    </row>
    <row r="12" spans="1:8">
      <c r="A12" s="111" t="s">
        <v>3385</v>
      </c>
      <c r="F12" s="112" t="s">
        <v>1188</v>
      </c>
      <c r="G12" s="120" t="s">
        <v>5208</v>
      </c>
    </row>
    <row r="13" spans="1:8">
      <c r="A13" s="111" t="s">
        <v>5211</v>
      </c>
      <c r="G13" s="131"/>
    </row>
    <row r="14" spans="1:8">
      <c r="A14" s="111" t="s">
        <v>5212</v>
      </c>
    </row>
    <row r="16" spans="1:8" s="15" customFormat="1" ht="20.100000000000001" customHeight="1">
      <c r="A16" s="129" t="s">
        <v>1097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73"/>
    </row>
    <row r="18" spans="1:8">
      <c r="D18" s="2" t="s">
        <v>5213</v>
      </c>
      <c r="E18" s="2"/>
    </row>
    <row r="19" spans="1:8">
      <c r="A19" s="173"/>
      <c r="D19" s="2"/>
      <c r="E19" s="2"/>
    </row>
    <row r="20" spans="1:8">
      <c r="A20" s="116" t="s">
        <v>5173</v>
      </c>
      <c r="B20" s="116" t="s">
        <v>5214</v>
      </c>
      <c r="C20" s="116"/>
      <c r="D20" s="111" t="s">
        <v>5215</v>
      </c>
      <c r="H20" s="111">
        <v>5596</v>
      </c>
    </row>
    <row r="21" spans="1:8">
      <c r="A21" s="112"/>
      <c r="D21" s="111" t="s">
        <v>5216</v>
      </c>
      <c r="H21" s="111">
        <v>900</v>
      </c>
    </row>
    <row r="23" spans="1:8">
      <c r="A23" s="116"/>
      <c r="B23" s="116"/>
      <c r="C23" s="116"/>
    </row>
    <row r="24" spans="1:8">
      <c r="A24" s="112"/>
    </row>
    <row r="25" spans="1:8">
      <c r="A25" s="112"/>
    </row>
    <row r="27" spans="1:8">
      <c r="A27" s="116"/>
      <c r="D27" s="2"/>
      <c r="E27" s="2"/>
    </row>
    <row r="29" spans="1:8">
      <c r="A29" s="116"/>
    </row>
    <row r="30" spans="1:8">
      <c r="A30" s="116"/>
      <c r="B30" s="1"/>
      <c r="C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73"/>
      <c r="H32" s="1"/>
    </row>
    <row r="33" spans="1:8" ht="13.5" thickBot="1">
      <c r="A33" s="173"/>
      <c r="H33" s="117">
        <f>SUM(H19:H31)</f>
        <v>6496</v>
      </c>
    </row>
    <row r="34" spans="1:8" ht="13.5" thickTop="1">
      <c r="A34" s="173"/>
    </row>
    <row r="35" spans="1:8" ht="20.100000000000001" customHeight="1">
      <c r="A35" s="118" t="s">
        <v>1686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Six Thousand Four Hundred Ninety-Six and NO/100 -----------</v>
      </c>
      <c r="C35" s="202"/>
      <c r="D35" s="119"/>
      <c r="E35" s="119"/>
      <c r="F35" s="119"/>
      <c r="G35" s="119"/>
      <c r="H35" s="119"/>
    </row>
    <row r="36" spans="1:8">
      <c r="A36" s="120"/>
    </row>
    <row r="37" spans="1:8">
      <c r="A37" s="111" t="s">
        <v>10</v>
      </c>
    </row>
    <row r="38" spans="1:8" ht="25.5">
      <c r="F38" s="265" t="s">
        <v>2894</v>
      </c>
      <c r="G38" s="266"/>
      <c r="H38" s="267"/>
    </row>
    <row r="39" spans="1:8">
      <c r="F39" s="309"/>
      <c r="G39" s="309"/>
      <c r="H39" s="309"/>
    </row>
    <row r="40" spans="1:8">
      <c r="A40" s="111" t="s">
        <v>51</v>
      </c>
      <c r="D40" s="121"/>
      <c r="E40" s="121"/>
      <c r="F40" s="310"/>
      <c r="G40" s="311"/>
      <c r="H40" s="311"/>
    </row>
    <row r="41" spans="1:8">
      <c r="A41" s="35"/>
      <c r="B41" s="122"/>
    </row>
    <row r="43" spans="1:8">
      <c r="A43" s="111" t="s">
        <v>8</v>
      </c>
      <c r="F43" s="123" t="s">
        <v>7</v>
      </c>
      <c r="H43" s="124"/>
    </row>
    <row r="47" spans="1:8">
      <c r="A47" s="122"/>
      <c r="B47" s="122"/>
      <c r="F47" s="122"/>
      <c r="G47" s="122"/>
      <c r="H47" s="122"/>
    </row>
    <row r="48" spans="1:8" s="3" customFormat="1" ht="17.100000000000001" customHeight="1">
      <c r="A48" s="111" t="s">
        <v>2948</v>
      </c>
      <c r="B48" s="125"/>
      <c r="C48" s="125"/>
      <c r="D48" s="111"/>
      <c r="E48" s="126"/>
      <c r="F48" s="126" t="s">
        <v>3</v>
      </c>
      <c r="G48" s="126"/>
      <c r="H48" s="126"/>
    </row>
    <row r="49" spans="6:6">
      <c r="F49" s="111" t="s">
        <v>2</v>
      </c>
    </row>
    <row r="51" spans="6:6">
      <c r="F51" s="2" t="s">
        <v>1</v>
      </c>
    </row>
    <row r="52" spans="6:6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3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E8656-0134-4D4B-B0EE-ADBD513426B5}">
  <sheetPr codeName="Sheet590"/>
  <dimension ref="A1:O55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" style="374" customWidth="1"/>
    <col min="2" max="2" width="13.42578125" style="374" customWidth="1"/>
    <col min="3" max="3" width="0.85546875" style="374" customWidth="1"/>
    <col min="4" max="4" width="21" style="374" customWidth="1"/>
    <col min="5" max="5" width="0.85546875" style="374" customWidth="1"/>
    <col min="6" max="6" width="12.42578125" style="374" customWidth="1"/>
    <col min="7" max="7" width="8.7109375" style="374" customWidth="1"/>
    <col min="8" max="8" width="13.28515625" style="374" customWidth="1"/>
    <col min="9" max="16384" width="9.140625" style="373"/>
  </cols>
  <sheetData>
    <row r="1" spans="1:14" ht="15">
      <c r="A1" s="534" t="s">
        <v>26</v>
      </c>
      <c r="B1" s="534"/>
      <c r="C1" s="534"/>
      <c r="D1" s="534"/>
      <c r="E1" s="534"/>
      <c r="F1" s="534"/>
      <c r="G1" s="534"/>
      <c r="H1" s="534"/>
    </row>
    <row r="2" spans="1:14">
      <c r="A2" s="535" t="s">
        <v>25</v>
      </c>
      <c r="B2" s="535"/>
      <c r="C2" s="535"/>
      <c r="D2" s="535"/>
      <c r="E2" s="535"/>
      <c r="F2" s="535"/>
      <c r="G2" s="535"/>
      <c r="H2" s="535"/>
    </row>
    <row r="3" spans="1:14">
      <c r="A3" s="535" t="s">
        <v>1480</v>
      </c>
      <c r="B3" s="535"/>
      <c r="C3" s="535"/>
      <c r="D3" s="535"/>
      <c r="E3" s="535"/>
      <c r="F3" s="535"/>
      <c r="G3" s="535"/>
      <c r="H3" s="535"/>
    </row>
    <row r="4" spans="1:14">
      <c r="A4" s="535" t="s">
        <v>1684</v>
      </c>
      <c r="B4" s="535"/>
      <c r="C4" s="535"/>
      <c r="D4" s="535"/>
      <c r="E4" s="535"/>
      <c r="F4" s="535"/>
      <c r="G4" s="535"/>
      <c r="H4" s="535"/>
    </row>
    <row r="8" spans="1:14">
      <c r="A8" s="374" t="s">
        <v>24</v>
      </c>
      <c r="F8" s="375" t="s">
        <v>23</v>
      </c>
    </row>
    <row r="9" spans="1:14">
      <c r="F9" s="376" t="s">
        <v>1110</v>
      </c>
      <c r="G9" s="489" t="s">
        <v>6319</v>
      </c>
    </row>
    <row r="10" spans="1:14">
      <c r="A10" s="488" t="s">
        <v>6321</v>
      </c>
      <c r="F10" s="376" t="s">
        <v>1685</v>
      </c>
      <c r="G10" s="489" t="s">
        <v>6310</v>
      </c>
    </row>
    <row r="11" spans="1:14">
      <c r="A11" s="488" t="s">
        <v>6322</v>
      </c>
      <c r="F11" s="376" t="s">
        <v>1163</v>
      </c>
      <c r="G11" s="489" t="s">
        <v>1094</v>
      </c>
    </row>
    <row r="12" spans="1:14">
      <c r="A12" s="488" t="s">
        <v>6323</v>
      </c>
      <c r="F12" s="376" t="s">
        <v>1188</v>
      </c>
      <c r="G12" s="483" t="s">
        <v>6320</v>
      </c>
    </row>
    <row r="13" spans="1:14">
      <c r="A13" s="488" t="s">
        <v>6324</v>
      </c>
      <c r="G13" s="483" t="s">
        <v>6311</v>
      </c>
    </row>
    <row r="14" spans="1:14">
      <c r="A14" s="488" t="s">
        <v>3385</v>
      </c>
    </row>
    <row r="15" spans="1:14">
      <c r="K15" s="379" t="s">
        <v>4530</v>
      </c>
      <c r="L15" s="377"/>
      <c r="M15" s="377"/>
      <c r="N15" s="377"/>
    </row>
    <row r="16" spans="1:14" s="385" customFormat="1" ht="20.100000000000001" customHeight="1">
      <c r="A16" s="380" t="s">
        <v>1140</v>
      </c>
      <c r="B16" s="381" t="s">
        <v>1098</v>
      </c>
      <c r="C16" s="381"/>
      <c r="D16" s="382" t="s">
        <v>14</v>
      </c>
      <c r="E16" s="382"/>
      <c r="F16" s="380"/>
      <c r="G16" s="383"/>
      <c r="H16" s="384" t="s">
        <v>13</v>
      </c>
      <c r="K16" s="379"/>
      <c r="L16" s="377"/>
      <c r="M16" s="377"/>
      <c r="N16" s="377"/>
    </row>
    <row r="17" spans="1:15">
      <c r="A17" s="377"/>
      <c r="B17" s="377"/>
      <c r="C17" s="377"/>
      <c r="D17" s="483"/>
      <c r="E17" s="483"/>
      <c r="F17" s="483"/>
      <c r="G17" s="483"/>
      <c r="H17" s="483"/>
      <c r="K17" s="377" t="s">
        <v>2719</v>
      </c>
      <c r="L17" s="377"/>
      <c r="M17" s="377"/>
      <c r="N17" s="377">
        <v>1350</v>
      </c>
    </row>
    <row r="18" spans="1:15">
      <c r="A18" s="386"/>
      <c r="B18" s="387"/>
      <c r="C18" s="387"/>
      <c r="D18" s="482" t="s">
        <v>6325</v>
      </c>
      <c r="E18" s="482"/>
      <c r="F18" s="483"/>
      <c r="G18" s="483"/>
      <c r="H18" s="483"/>
      <c r="K18" s="377" t="s">
        <v>1583</v>
      </c>
      <c r="L18" s="377"/>
      <c r="M18" s="377"/>
      <c r="N18" s="377">
        <v>600</v>
      </c>
    </row>
    <row r="19" spans="1:15">
      <c r="A19" s="386"/>
      <c r="B19" s="387"/>
      <c r="C19" s="387"/>
      <c r="D19" s="482" t="s">
        <v>1034</v>
      </c>
      <c r="E19" s="482"/>
      <c r="F19" s="483"/>
      <c r="G19" s="483"/>
      <c r="H19" s="483"/>
      <c r="I19" s="377"/>
      <c r="K19" s="377" t="s">
        <v>4518</v>
      </c>
      <c r="L19" s="377"/>
      <c r="M19" s="377"/>
      <c r="N19" s="377">
        <v>150</v>
      </c>
    </row>
    <row r="20" spans="1:15">
      <c r="A20" s="484" t="s">
        <v>2834</v>
      </c>
      <c r="B20" s="387"/>
      <c r="C20" s="387"/>
      <c r="D20" s="483" t="s">
        <v>6326</v>
      </c>
      <c r="E20" s="483"/>
      <c r="F20" s="483"/>
      <c r="G20" s="483"/>
      <c r="H20" s="483">
        <v>800</v>
      </c>
      <c r="I20" s="377"/>
      <c r="K20" s="377"/>
      <c r="L20" s="377"/>
      <c r="M20" s="377"/>
      <c r="N20" s="377"/>
    </row>
    <row r="21" spans="1:15">
      <c r="A21" s="493" t="s">
        <v>6318</v>
      </c>
      <c r="B21" s="387"/>
      <c r="C21" s="387"/>
      <c r="D21" s="483" t="s">
        <v>6327</v>
      </c>
      <c r="E21" s="483"/>
      <c r="F21" s="483"/>
      <c r="G21" s="483"/>
      <c r="H21" s="483">
        <v>400</v>
      </c>
      <c r="I21" s="377"/>
      <c r="K21" s="377"/>
      <c r="L21" s="377"/>
      <c r="M21" s="377"/>
      <c r="N21" s="377"/>
    </row>
    <row r="22" spans="1:15">
      <c r="B22" s="388"/>
      <c r="C22" s="388"/>
      <c r="D22" s="483"/>
      <c r="E22" s="483"/>
      <c r="F22" s="483"/>
      <c r="G22" s="483"/>
      <c r="H22" s="483"/>
      <c r="I22" s="377"/>
    </row>
    <row r="23" spans="1:15">
      <c r="A23" s="373"/>
      <c r="B23" s="377"/>
      <c r="C23" s="377"/>
      <c r="D23" s="482"/>
      <c r="E23" s="491"/>
      <c r="I23" s="377"/>
      <c r="K23" s="483" t="s">
        <v>2719</v>
      </c>
      <c r="L23" s="483"/>
      <c r="M23" s="483"/>
      <c r="N23" s="483">
        <v>810</v>
      </c>
      <c r="O23" s="377"/>
    </row>
    <row r="24" spans="1:15">
      <c r="A24" s="373"/>
      <c r="B24" s="377"/>
      <c r="C24" s="377"/>
      <c r="D24" s="482"/>
      <c r="E24" s="483"/>
      <c r="F24" s="483"/>
      <c r="G24" s="483"/>
      <c r="H24" s="483"/>
      <c r="I24" s="377"/>
      <c r="K24" s="483" t="s">
        <v>1583</v>
      </c>
      <c r="L24" s="483"/>
      <c r="M24" s="483"/>
      <c r="N24" s="483">
        <v>300</v>
      </c>
      <c r="O24" s="377"/>
    </row>
    <row r="25" spans="1:15">
      <c r="A25" s="484"/>
      <c r="B25" s="378"/>
      <c r="C25" s="378"/>
      <c r="D25" s="483"/>
      <c r="E25" s="483"/>
      <c r="F25" s="483"/>
      <c r="G25" s="483"/>
      <c r="H25" s="483"/>
      <c r="I25" s="377"/>
      <c r="K25" s="483" t="s">
        <v>4518</v>
      </c>
      <c r="L25" s="483"/>
      <c r="M25" s="483"/>
      <c r="N25" s="483">
        <v>100</v>
      </c>
      <c r="O25" s="377"/>
    </row>
    <row r="26" spans="1:15">
      <c r="A26" s="493"/>
      <c r="B26" s="377"/>
      <c r="C26" s="377"/>
      <c r="D26" s="483"/>
      <c r="E26" s="483"/>
      <c r="F26" s="377"/>
      <c r="G26" s="377"/>
      <c r="H26" s="377"/>
      <c r="I26" s="377"/>
      <c r="K26" s="483"/>
      <c r="L26" s="483"/>
      <c r="M26" s="483"/>
      <c r="N26" s="483"/>
      <c r="O26" s="377"/>
    </row>
    <row r="27" spans="1:15">
      <c r="A27" s="483"/>
      <c r="D27" s="483"/>
      <c r="E27" s="483"/>
      <c r="K27" s="483"/>
      <c r="L27" s="483"/>
      <c r="M27" s="483"/>
      <c r="N27" s="483"/>
      <c r="O27" s="377"/>
    </row>
    <row r="28" spans="1:15">
      <c r="A28" s="483"/>
      <c r="D28" s="483"/>
      <c r="E28" s="483"/>
      <c r="K28" s="483"/>
      <c r="L28" s="483"/>
      <c r="M28" s="483"/>
      <c r="N28" s="483"/>
      <c r="O28" s="377"/>
    </row>
    <row r="29" spans="1:15">
      <c r="A29" s="483"/>
      <c r="D29" s="483"/>
      <c r="E29" s="483"/>
      <c r="K29" s="483"/>
      <c r="L29" s="483"/>
      <c r="M29" s="483"/>
      <c r="N29" s="483"/>
      <c r="O29" s="377"/>
    </row>
    <row r="30" spans="1:15">
      <c r="A30" s="493"/>
      <c r="D30" s="483"/>
      <c r="E30" s="482"/>
    </row>
    <row r="31" spans="1:15">
      <c r="A31" s="484"/>
      <c r="D31" s="482"/>
      <c r="E31" s="482"/>
    </row>
    <row r="32" spans="1:15">
      <c r="A32" s="484"/>
      <c r="D32" s="483"/>
      <c r="E32" s="483"/>
    </row>
    <row r="33" spans="1:8">
      <c r="A33" s="493"/>
      <c r="D33" s="483"/>
      <c r="E33" s="483"/>
    </row>
    <row r="34" spans="1:8">
      <c r="A34" s="486"/>
      <c r="D34" s="483"/>
      <c r="E34" s="483"/>
    </row>
    <row r="35" spans="1:8">
      <c r="A35" s="391"/>
      <c r="H35" s="373"/>
    </row>
    <row r="36" spans="1:8" ht="13.5" thickBot="1">
      <c r="A36" s="391"/>
      <c r="H36" s="392">
        <f>SUM(H20:H34)</f>
        <v>1200</v>
      </c>
    </row>
    <row r="37" spans="1:8" ht="13.5" thickTop="1">
      <c r="A37" s="391"/>
    </row>
    <row r="38" spans="1:8" ht="21.75" customHeight="1">
      <c r="A38" s="393" t="s">
        <v>1686</v>
      </c>
      <c r="B38" s="394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One Thousand Two Hundred and NO/100 -----------</v>
      </c>
      <c r="C38" s="394"/>
      <c r="D38" s="395"/>
      <c r="E38" s="395"/>
      <c r="F38" s="395"/>
      <c r="G38" s="395"/>
      <c r="H38" s="395"/>
    </row>
    <row r="39" spans="1:8">
      <c r="A39" s="396"/>
    </row>
    <row r="40" spans="1:8" ht="25.5">
      <c r="A40" s="374" t="s">
        <v>10</v>
      </c>
      <c r="F40" s="397" t="s">
        <v>2894</v>
      </c>
      <c r="G40" s="398"/>
      <c r="H40" s="399"/>
    </row>
    <row r="41" spans="1:8">
      <c r="A41" s="400"/>
    </row>
    <row r="42" spans="1:8" s="407" customFormat="1" ht="17.100000000000001" customHeight="1">
      <c r="A42" s="374"/>
      <c r="B42" s="374"/>
      <c r="C42" s="374"/>
      <c r="D42" s="374"/>
      <c r="E42" s="374"/>
      <c r="F42" s="374"/>
      <c r="G42" s="374"/>
      <c r="H42" s="374"/>
    </row>
    <row r="43" spans="1:8">
      <c r="A43" s="374" t="s">
        <v>51</v>
      </c>
      <c r="D43" s="401"/>
      <c r="E43" s="401"/>
    </row>
    <row r="44" spans="1:8">
      <c r="A44" s="402"/>
      <c r="B44" s="402"/>
      <c r="C44" s="452"/>
    </row>
    <row r="45" spans="1:8">
      <c r="F45" s="403" t="s">
        <v>7</v>
      </c>
    </row>
    <row r="46" spans="1:8">
      <c r="A46" s="374" t="s">
        <v>8</v>
      </c>
      <c r="D46" s="374" t="s">
        <v>8</v>
      </c>
      <c r="H46" s="404"/>
    </row>
    <row r="50" spans="1:8">
      <c r="A50" s="402" t="s">
        <v>51</v>
      </c>
      <c r="B50" s="402"/>
      <c r="C50" s="452"/>
      <c r="D50" s="402" t="s">
        <v>51</v>
      </c>
      <c r="F50" s="402"/>
      <c r="G50" s="402"/>
      <c r="H50" s="402"/>
    </row>
    <row r="51" spans="1:8">
      <c r="A51" s="405" t="s">
        <v>2948</v>
      </c>
      <c r="B51" s="406"/>
      <c r="C51" s="406"/>
      <c r="D51" s="494" t="s">
        <v>103</v>
      </c>
      <c r="E51" s="400"/>
      <c r="F51" s="400" t="s">
        <v>3</v>
      </c>
      <c r="G51" s="400"/>
      <c r="H51" s="400"/>
    </row>
    <row r="52" spans="1:8">
      <c r="A52" s="405"/>
      <c r="D52" s="405"/>
      <c r="F52" s="374" t="s">
        <v>2</v>
      </c>
    </row>
    <row r="54" spans="1:8">
      <c r="F54" s="408" t="s">
        <v>1</v>
      </c>
    </row>
    <row r="55" spans="1:8">
      <c r="F55" s="408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3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AD020-3439-46FA-8264-F4CE4487D32C}">
  <sheetPr codeName="Sheet560">
    <pageSetUpPr fitToPage="1"/>
  </sheetPr>
  <dimension ref="A1:H55"/>
  <sheetViews>
    <sheetView topLeftCell="A4" zoomScaleNormal="100" workbookViewId="0">
      <selection activeCell="G9" sqref="G9:G13"/>
    </sheetView>
  </sheetViews>
  <sheetFormatPr defaultRowHeight="12.75"/>
  <cols>
    <col min="1" max="1" width="15.85546875" style="111" customWidth="1"/>
    <col min="2" max="2" width="15.42578125" style="111" customWidth="1"/>
    <col min="3" max="3" width="1" style="111" customWidth="1"/>
    <col min="4" max="4" width="23" style="111" customWidth="1"/>
    <col min="5" max="5" width="1.42578125" style="111" customWidth="1"/>
    <col min="6" max="6" width="12" style="111" customWidth="1"/>
    <col min="7" max="7" width="9.710937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1239</v>
      </c>
      <c r="G9" s="489" t="s">
        <v>7160</v>
      </c>
    </row>
    <row r="10" spans="1:8">
      <c r="A10" s="111" t="s">
        <v>5728</v>
      </c>
      <c r="F10" s="112" t="s">
        <v>1124</v>
      </c>
      <c r="G10" s="132" t="s">
        <v>7158</v>
      </c>
    </row>
    <row r="11" spans="1:8">
      <c r="A11" s="111" t="s">
        <v>5729</v>
      </c>
      <c r="F11" s="112" t="s">
        <v>1125</v>
      </c>
      <c r="G11" s="132" t="s">
        <v>1094</v>
      </c>
    </row>
    <row r="12" spans="1:8">
      <c r="A12" s="111" t="s">
        <v>5730</v>
      </c>
      <c r="F12" s="112" t="s">
        <v>1096</v>
      </c>
      <c r="G12" s="111" t="s">
        <v>7161</v>
      </c>
    </row>
    <row r="13" spans="1:8">
      <c r="A13" s="111" t="s">
        <v>1149</v>
      </c>
      <c r="G13" s="111" t="s">
        <v>6182</v>
      </c>
    </row>
    <row r="16" spans="1:8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53"/>
    </row>
    <row r="18" spans="1:8">
      <c r="B18" s="116"/>
      <c r="C18" s="116"/>
      <c r="D18" s="2" t="s">
        <v>4051</v>
      </c>
      <c r="E18" s="2"/>
    </row>
    <row r="20" spans="1:8">
      <c r="A20" s="485" t="s">
        <v>7144</v>
      </c>
      <c r="B20" s="485" t="s">
        <v>7162</v>
      </c>
      <c r="C20" s="116"/>
      <c r="D20" s="111" t="s">
        <v>7164</v>
      </c>
      <c r="H20" s="111">
        <f>5000*0.63</f>
        <v>3150</v>
      </c>
    </row>
    <row r="21" spans="1:8">
      <c r="A21" s="116"/>
      <c r="B21" s="116"/>
      <c r="C21" s="116"/>
    </row>
    <row r="22" spans="1:8">
      <c r="A22" s="116"/>
      <c r="B22" s="116"/>
      <c r="C22" s="116"/>
      <c r="D22" s="483" t="s">
        <v>7165</v>
      </c>
      <c r="H22" s="111">
        <v>-150</v>
      </c>
    </row>
    <row r="23" spans="1:8">
      <c r="A23" s="116"/>
      <c r="B23" s="116"/>
      <c r="C23" s="116"/>
    </row>
    <row r="24" spans="1:8">
      <c r="A24" s="116"/>
      <c r="B24" s="116"/>
      <c r="C24" s="116"/>
      <c r="D24" s="111" t="s">
        <v>7166</v>
      </c>
      <c r="H24" s="111">
        <v>50</v>
      </c>
    </row>
    <row r="25" spans="1:8">
      <c r="A25" s="116"/>
      <c r="B25" s="116"/>
      <c r="C25" s="116"/>
    </row>
    <row r="26" spans="1:8">
      <c r="A26" s="116"/>
      <c r="B26" s="116"/>
      <c r="C26" s="116"/>
      <c r="D26" s="111" t="s">
        <v>7163</v>
      </c>
    </row>
    <row r="27" spans="1:8">
      <c r="A27" s="116"/>
      <c r="B27" s="116"/>
      <c r="C27" s="116"/>
    </row>
    <row r="29" spans="1:8">
      <c r="A29" s="116"/>
      <c r="B29" s="121"/>
      <c r="C29" s="121"/>
    </row>
    <row r="30" spans="1:8">
      <c r="A30" s="121"/>
      <c r="B30" s="121"/>
      <c r="C30" s="121"/>
    </row>
    <row r="31" spans="1:8">
      <c r="A31" s="116"/>
      <c r="B31" s="121"/>
      <c r="C31" s="121"/>
    </row>
    <row r="32" spans="1:8">
      <c r="A32" s="153"/>
    </row>
    <row r="33" spans="1:8">
      <c r="A33" s="153"/>
    </row>
    <row r="34" spans="1:8">
      <c r="A34" s="153"/>
    </row>
    <row r="35" spans="1:8">
      <c r="A35" s="153"/>
    </row>
    <row r="36" spans="1:8" ht="13.5" thickBot="1">
      <c r="A36" s="153"/>
      <c r="H36" s="117">
        <f>SUM(H18:H34)</f>
        <v>3050</v>
      </c>
    </row>
    <row r="37" spans="1:8" ht="13.5" thickTop="1">
      <c r="A37" s="153"/>
    </row>
    <row r="38" spans="1:8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Three Thousand Fifty and NO/100 -----------</v>
      </c>
      <c r="C38" s="202"/>
      <c r="D38" s="119"/>
      <c r="E38" s="119"/>
      <c r="F38" s="119"/>
      <c r="G38" s="119"/>
      <c r="H38" s="119"/>
    </row>
    <row r="39" spans="1:8">
      <c r="A39" s="120" t="s">
        <v>11</v>
      </c>
    </row>
    <row r="40" spans="1:8" ht="25.5">
      <c r="A40" s="126" t="s">
        <v>10</v>
      </c>
      <c r="F40" s="265" t="s">
        <v>2894</v>
      </c>
      <c r="G40" s="266"/>
      <c r="H40" s="267"/>
    </row>
    <row r="43" spans="1:8">
      <c r="D43" s="121"/>
      <c r="E43" s="121"/>
    </row>
    <row r="44" spans="1:8">
      <c r="A44" s="122"/>
      <c r="B44" s="122"/>
      <c r="C44" s="433"/>
      <c r="D44" s="433"/>
    </row>
    <row r="45" spans="1:8">
      <c r="D45" s="433"/>
    </row>
    <row r="46" spans="1:8">
      <c r="A46" s="123" t="s">
        <v>8</v>
      </c>
      <c r="D46" s="487" t="s">
        <v>8</v>
      </c>
      <c r="F46" s="123" t="s">
        <v>7</v>
      </c>
      <c r="H46" s="124"/>
    </row>
    <row r="47" spans="1:8">
      <c r="D47" s="483"/>
    </row>
    <row r="48" spans="1:8">
      <c r="D48" s="483"/>
    </row>
    <row r="49" spans="1:8">
      <c r="D49" s="483"/>
    </row>
    <row r="50" spans="1:8">
      <c r="A50" s="122"/>
      <c r="B50" s="122"/>
      <c r="C50" s="433"/>
      <c r="D50" s="122"/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D52" s="433"/>
      <c r="F52" s="111" t="s">
        <v>2</v>
      </c>
    </row>
    <row r="53" spans="1:8">
      <c r="D53" s="433"/>
    </row>
    <row r="54" spans="1:8">
      <c r="D54" s="433"/>
      <c r="F54" s="2" t="s">
        <v>1</v>
      </c>
    </row>
    <row r="55" spans="1:8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3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1-000000000000}">
  <sheetPr codeName="Sheet506">
    <pageSetUpPr fitToPage="1"/>
  </sheetPr>
  <dimension ref="A1:F55"/>
  <sheetViews>
    <sheetView zoomScaleNormal="100" workbookViewId="0">
      <selection activeCell="G9" sqref="G9:G13"/>
    </sheetView>
  </sheetViews>
  <sheetFormatPr defaultRowHeight="12.75"/>
  <cols>
    <col min="1" max="1" width="15.85546875" style="111" customWidth="1"/>
    <col min="2" max="2" width="15.42578125" style="111" customWidth="1"/>
    <col min="3" max="3" width="23" style="111" customWidth="1"/>
    <col min="4" max="4" width="12" style="111" customWidth="1"/>
    <col min="5" max="5" width="9.710937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1239</v>
      </c>
      <c r="E9" s="111" t="s">
        <v>4849</v>
      </c>
    </row>
    <row r="10" spans="1:6">
      <c r="A10" s="111" t="s">
        <v>4202</v>
      </c>
      <c r="D10" s="112" t="s">
        <v>1124</v>
      </c>
      <c r="E10" s="112" t="s">
        <v>4846</v>
      </c>
    </row>
    <row r="11" spans="1:6">
      <c r="A11" s="111" t="s">
        <v>4851</v>
      </c>
      <c r="D11" s="112" t="s">
        <v>1125</v>
      </c>
      <c r="E11" s="112" t="s">
        <v>1094</v>
      </c>
    </row>
    <row r="12" spans="1:6">
      <c r="A12" s="111" t="s">
        <v>4852</v>
      </c>
      <c r="D12" s="112" t="s">
        <v>1096</v>
      </c>
      <c r="E12" s="120" t="s">
        <v>4850</v>
      </c>
    </row>
    <row r="13" spans="1:6">
      <c r="A13" s="111" t="s">
        <v>4853</v>
      </c>
    </row>
    <row r="14" spans="1:6">
      <c r="A14" s="111" t="s">
        <v>3571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B18" s="116" t="s">
        <v>11</v>
      </c>
      <c r="C18" s="2" t="s">
        <v>3650</v>
      </c>
    </row>
    <row r="20" spans="1:6">
      <c r="A20" s="116" t="s">
        <v>4847</v>
      </c>
      <c r="B20" s="241" t="s">
        <v>4854</v>
      </c>
      <c r="C20" s="111" t="s">
        <v>4855</v>
      </c>
      <c r="F20" s="111">
        <v>100</v>
      </c>
    </row>
    <row r="21" spans="1:6">
      <c r="A21" s="116"/>
      <c r="B21" s="116"/>
      <c r="C21" s="111" t="s">
        <v>4856</v>
      </c>
      <c r="F21" s="111">
        <v>100</v>
      </c>
    </row>
    <row r="22" spans="1:6">
      <c r="A22" s="116"/>
      <c r="B22" s="116"/>
    </row>
    <row r="23" spans="1:6">
      <c r="A23" s="116"/>
      <c r="B23" s="116"/>
    </row>
    <row r="24" spans="1:6">
      <c r="A24" s="116"/>
      <c r="B24" s="116"/>
    </row>
    <row r="25" spans="1:6">
      <c r="A25" s="116"/>
      <c r="B25" s="116"/>
    </row>
    <row r="29" spans="1:6">
      <c r="C29" s="167"/>
    </row>
    <row r="31" spans="1:6">
      <c r="A31" s="153"/>
    </row>
    <row r="32" spans="1:6">
      <c r="A32" s="153"/>
    </row>
    <row r="33" spans="1:6">
      <c r="A33" s="153"/>
    </row>
    <row r="34" spans="1:6">
      <c r="A34" s="153"/>
    </row>
    <row r="35" spans="1:6">
      <c r="A35" s="153"/>
    </row>
    <row r="36" spans="1:6" ht="13.5" thickBot="1">
      <c r="A36" s="153"/>
      <c r="F36" s="117">
        <f>SUM(F18:F34)</f>
        <v>200</v>
      </c>
    </row>
    <row r="37" spans="1:6" ht="13.5" thickTop="1">
      <c r="A37" s="153"/>
    </row>
    <row r="38" spans="1:6" ht="20.100000000000001" customHeight="1">
      <c r="A38" s="118" t="s">
        <v>204</v>
      </c>
      <c r="B38" s="202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Two Hundred and NO/100 -----------</v>
      </c>
      <c r="C38" s="119"/>
      <c r="D38" s="119"/>
      <c r="E38" s="119"/>
      <c r="F38" s="119"/>
    </row>
    <row r="39" spans="1:6">
      <c r="A39" s="120" t="s">
        <v>11</v>
      </c>
    </row>
    <row r="40" spans="1:6" ht="25.5">
      <c r="A40" s="126" t="s">
        <v>10</v>
      </c>
      <c r="D40" s="265" t="s">
        <v>2894</v>
      </c>
      <c r="E40" s="266"/>
      <c r="F40" s="267"/>
    </row>
    <row r="43" spans="1:6">
      <c r="C43" s="121"/>
    </row>
    <row r="44" spans="1:6">
      <c r="A44" s="122"/>
      <c r="B44" s="122"/>
    </row>
    <row r="46" spans="1:6">
      <c r="A46" s="123" t="s">
        <v>8</v>
      </c>
      <c r="D46" s="123" t="s">
        <v>7</v>
      </c>
      <c r="F46" s="124"/>
    </row>
    <row r="50" spans="1:6">
      <c r="A50" s="122"/>
      <c r="B50" s="122"/>
      <c r="D50" s="122"/>
      <c r="E50" s="122"/>
      <c r="F50" s="122"/>
    </row>
    <row r="51" spans="1:6" s="126" customFormat="1" ht="17.100000000000001" customHeight="1">
      <c r="A51" s="151" t="s">
        <v>2948</v>
      </c>
      <c r="B51" s="125"/>
      <c r="D51" s="126" t="s">
        <v>3</v>
      </c>
    </row>
    <row r="52" spans="1:6">
      <c r="D52" s="111" t="s">
        <v>2</v>
      </c>
    </row>
    <row r="54" spans="1:6">
      <c r="D54" s="2" t="s">
        <v>1</v>
      </c>
    </row>
    <row r="55" spans="1:6">
      <c r="D55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3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1-000000000000}">
  <sheetPr codeName="Sheet484">
    <pageSetUpPr fitToPage="1"/>
  </sheetPr>
  <dimension ref="A1:M57"/>
  <sheetViews>
    <sheetView zoomScaleNormal="100" workbookViewId="0">
      <selection activeCell="G9" sqref="G9:G13"/>
    </sheetView>
  </sheetViews>
  <sheetFormatPr defaultRowHeight="12.75"/>
  <cols>
    <col min="1" max="1" width="16" style="374" customWidth="1"/>
    <col min="2" max="2" width="13.42578125" style="374" customWidth="1"/>
    <col min="3" max="3" width="21" style="374" customWidth="1"/>
    <col min="4" max="4" width="12.42578125" style="374" customWidth="1"/>
    <col min="5" max="5" width="8.7109375" style="374" customWidth="1"/>
    <col min="6" max="6" width="13.28515625" style="374" customWidth="1"/>
    <col min="7" max="16384" width="9.140625" style="373"/>
  </cols>
  <sheetData>
    <row r="1" spans="1:12" ht="15">
      <c r="A1" s="534" t="s">
        <v>26</v>
      </c>
      <c r="B1" s="534"/>
      <c r="C1" s="534"/>
      <c r="D1" s="534"/>
      <c r="E1" s="534"/>
      <c r="F1" s="534"/>
    </row>
    <row r="2" spans="1:12">
      <c r="A2" s="535" t="s">
        <v>25</v>
      </c>
      <c r="B2" s="535"/>
      <c r="C2" s="535"/>
      <c r="D2" s="535"/>
      <c r="E2" s="535"/>
      <c r="F2" s="535"/>
    </row>
    <row r="3" spans="1:12">
      <c r="A3" s="535" t="s">
        <v>1480</v>
      </c>
      <c r="B3" s="535"/>
      <c r="C3" s="535"/>
      <c r="D3" s="535"/>
      <c r="E3" s="535"/>
      <c r="F3" s="535"/>
    </row>
    <row r="4" spans="1:12">
      <c r="A4" s="535" t="s">
        <v>1684</v>
      </c>
      <c r="B4" s="535"/>
      <c r="C4" s="535"/>
      <c r="D4" s="535"/>
      <c r="E4" s="535"/>
      <c r="F4" s="535"/>
    </row>
    <row r="8" spans="1:12">
      <c r="A8" s="374" t="s">
        <v>24</v>
      </c>
      <c r="D8" s="375" t="s">
        <v>23</v>
      </c>
    </row>
    <row r="9" spans="1:12">
      <c r="A9" s="131" t="s">
        <v>4681</v>
      </c>
      <c r="D9" s="376" t="s">
        <v>1110</v>
      </c>
      <c r="E9" s="132" t="s">
        <v>4679</v>
      </c>
    </row>
    <row r="10" spans="1:12">
      <c r="A10" s="131" t="s">
        <v>4682</v>
      </c>
      <c r="D10" s="376" t="s">
        <v>1685</v>
      </c>
      <c r="E10" s="132" t="s">
        <v>4678</v>
      </c>
    </row>
    <row r="11" spans="1:12">
      <c r="A11" s="131" t="s">
        <v>4683</v>
      </c>
      <c r="D11" s="376" t="s">
        <v>1163</v>
      </c>
      <c r="E11" s="132" t="s">
        <v>1094</v>
      </c>
    </row>
    <row r="12" spans="1:12">
      <c r="A12" s="131" t="s">
        <v>4684</v>
      </c>
      <c r="D12" s="376" t="s">
        <v>1188</v>
      </c>
      <c r="E12" s="111" t="s">
        <v>4680</v>
      </c>
    </row>
    <row r="13" spans="1:12">
      <c r="A13" s="131" t="s">
        <v>4685</v>
      </c>
      <c r="E13" s="111"/>
    </row>
    <row r="14" spans="1:12">
      <c r="A14" s="131" t="s">
        <v>4686</v>
      </c>
    </row>
    <row r="15" spans="1:12">
      <c r="I15" s="379" t="s">
        <v>4530</v>
      </c>
      <c r="J15" s="377"/>
      <c r="K15" s="377"/>
      <c r="L15" s="377"/>
    </row>
    <row r="16" spans="1:12" s="385" customFormat="1" ht="20.100000000000001" customHeight="1">
      <c r="A16" s="380" t="s">
        <v>1140</v>
      </c>
      <c r="B16" s="381" t="s">
        <v>1098</v>
      </c>
      <c r="C16" s="382" t="s">
        <v>14</v>
      </c>
      <c r="D16" s="380"/>
      <c r="E16" s="383"/>
      <c r="F16" s="384" t="s">
        <v>13</v>
      </c>
      <c r="I16" s="379"/>
      <c r="J16" s="377"/>
      <c r="K16" s="377"/>
      <c r="L16" s="377"/>
    </row>
    <row r="17" spans="1:13">
      <c r="A17" s="377"/>
      <c r="B17" s="377"/>
      <c r="C17" s="111"/>
      <c r="D17" s="111"/>
      <c r="E17" s="111"/>
      <c r="F17" s="111"/>
      <c r="I17" s="377" t="s">
        <v>2719</v>
      </c>
      <c r="J17" s="377"/>
      <c r="K17" s="377"/>
      <c r="L17" s="377">
        <v>1350</v>
      </c>
    </row>
    <row r="18" spans="1:13">
      <c r="A18" s="386"/>
      <c r="B18" s="387"/>
      <c r="C18" s="2" t="s">
        <v>4687</v>
      </c>
      <c r="D18" s="111"/>
      <c r="E18" s="111"/>
      <c r="F18" s="111"/>
      <c r="I18" s="377" t="s">
        <v>1583</v>
      </c>
      <c r="J18" s="377"/>
      <c r="K18" s="377"/>
      <c r="L18" s="377">
        <v>600</v>
      </c>
    </row>
    <row r="19" spans="1:13">
      <c r="A19" s="386"/>
      <c r="B19" s="387"/>
      <c r="C19" s="111"/>
      <c r="D19" s="111"/>
      <c r="E19" s="111"/>
      <c r="F19" s="111"/>
      <c r="G19" s="377"/>
      <c r="I19" s="377" t="s">
        <v>4518</v>
      </c>
      <c r="J19" s="377"/>
      <c r="K19" s="377"/>
      <c r="L19" s="377">
        <v>150</v>
      </c>
    </row>
    <row r="20" spans="1:13">
      <c r="A20" s="116" t="s">
        <v>4688</v>
      </c>
      <c r="B20" s="116" t="s">
        <v>4689</v>
      </c>
      <c r="C20" s="111" t="s">
        <v>4690</v>
      </c>
      <c r="D20" s="111"/>
      <c r="E20" s="111"/>
      <c r="F20" s="111">
        <v>3226.42</v>
      </c>
      <c r="G20" s="377"/>
      <c r="I20" s="377"/>
      <c r="J20" s="377"/>
      <c r="K20" s="377"/>
      <c r="L20" s="377"/>
    </row>
    <row r="21" spans="1:13">
      <c r="A21" s="378"/>
      <c r="B21" s="389"/>
      <c r="C21" s="111" t="s">
        <v>1814</v>
      </c>
      <c r="D21" s="111"/>
      <c r="E21" s="111"/>
      <c r="F21" s="111">
        <v>193.58</v>
      </c>
      <c r="G21" s="377"/>
    </row>
    <row r="22" spans="1:13">
      <c r="A22" s="378"/>
      <c r="B22" s="387"/>
      <c r="C22" s="111"/>
      <c r="D22" s="111"/>
      <c r="E22" s="111"/>
      <c r="F22" s="111"/>
      <c r="G22" s="377"/>
      <c r="I22" s="2" t="s">
        <v>4622</v>
      </c>
      <c r="J22" s="111"/>
      <c r="K22" s="111"/>
      <c r="L22" s="111"/>
      <c r="M22" s="377"/>
    </row>
    <row r="23" spans="1:13">
      <c r="A23" s="377"/>
      <c r="B23" s="377"/>
      <c r="C23" s="111"/>
      <c r="D23" s="111"/>
      <c r="E23" s="111"/>
      <c r="F23" s="111"/>
      <c r="G23" s="377"/>
      <c r="I23" s="2"/>
      <c r="J23" s="111"/>
      <c r="K23" s="111"/>
      <c r="L23" s="111"/>
      <c r="M23" s="377"/>
    </row>
    <row r="24" spans="1:13">
      <c r="A24" s="377"/>
      <c r="B24" s="377"/>
      <c r="C24" s="111"/>
      <c r="D24" s="111"/>
      <c r="E24" s="111"/>
      <c r="F24" s="111"/>
      <c r="G24" s="377"/>
      <c r="I24" s="111" t="s">
        <v>2719</v>
      </c>
      <c r="J24" s="111"/>
      <c r="K24" s="111"/>
      <c r="L24" s="111">
        <v>810</v>
      </c>
      <c r="M24" s="377"/>
    </row>
    <row r="25" spans="1:13">
      <c r="A25" s="378"/>
      <c r="B25" s="377"/>
      <c r="C25" s="111"/>
      <c r="D25" s="111"/>
      <c r="E25" s="111"/>
      <c r="F25" s="111"/>
      <c r="G25" s="377"/>
      <c r="I25" s="111" t="s">
        <v>1583</v>
      </c>
      <c r="J25" s="111"/>
      <c r="K25" s="111"/>
      <c r="L25" s="111">
        <v>300</v>
      </c>
      <c r="M25" s="377"/>
    </row>
    <row r="26" spans="1:13">
      <c r="A26" s="378"/>
      <c r="B26" s="377"/>
      <c r="C26" s="111"/>
      <c r="D26" s="111"/>
      <c r="E26" s="111"/>
      <c r="F26" s="111"/>
      <c r="G26" s="377"/>
      <c r="I26" s="111" t="s">
        <v>4518</v>
      </c>
      <c r="J26" s="111"/>
      <c r="K26" s="111"/>
      <c r="L26" s="111">
        <v>100</v>
      </c>
      <c r="M26" s="377"/>
    </row>
    <row r="27" spans="1:13">
      <c r="A27" s="378"/>
      <c r="B27" s="378"/>
      <c r="C27" s="377"/>
      <c r="D27" s="377"/>
      <c r="E27" s="377"/>
      <c r="F27" s="377"/>
      <c r="G27" s="377"/>
      <c r="I27" s="111"/>
      <c r="J27" s="111"/>
      <c r="K27" s="111"/>
      <c r="L27" s="111"/>
      <c r="M27" s="377"/>
    </row>
    <row r="28" spans="1:13">
      <c r="A28" s="378"/>
      <c r="B28" s="377"/>
      <c r="C28" s="377"/>
      <c r="D28" s="377"/>
      <c r="E28" s="377"/>
      <c r="F28" s="377"/>
      <c r="I28" s="111"/>
      <c r="J28" s="111"/>
      <c r="K28" s="111"/>
      <c r="L28" s="111"/>
      <c r="M28" s="377"/>
    </row>
    <row r="29" spans="1:13">
      <c r="A29" s="377"/>
      <c r="C29" s="377"/>
    </row>
    <row r="30" spans="1:13">
      <c r="A30" s="378"/>
      <c r="C30" s="379"/>
    </row>
    <row r="31" spans="1:13">
      <c r="A31" s="377"/>
      <c r="C31" s="377"/>
    </row>
    <row r="32" spans="1:13">
      <c r="A32" s="378"/>
      <c r="C32" s="377"/>
    </row>
    <row r="33" spans="1:6">
      <c r="A33" s="378"/>
    </row>
    <row r="34" spans="1:6">
      <c r="A34" s="377"/>
      <c r="C34" s="377"/>
    </row>
    <row r="35" spans="1:6">
      <c r="A35" s="378"/>
      <c r="C35" s="377"/>
    </row>
    <row r="36" spans="1:6">
      <c r="A36" s="390"/>
    </row>
    <row r="37" spans="1:6">
      <c r="A37" s="391"/>
      <c r="F37" s="373"/>
    </row>
    <row r="38" spans="1:6" ht="13.5" thickBot="1">
      <c r="A38" s="391"/>
      <c r="F38" s="392">
        <f>SUM(F20:F36)</f>
        <v>3420</v>
      </c>
    </row>
    <row r="39" spans="1:6" ht="13.5" thickTop="1">
      <c r="A39" s="391"/>
    </row>
    <row r="40" spans="1:6" ht="20.100000000000001" customHeight="1">
      <c r="A40" s="393" t="s">
        <v>1686</v>
      </c>
      <c r="B40" s="394" t="str">
        <f>IF(OR(F38&gt;1000000,F38&lt;=0),"",IF(F38&lt;1000,"",IF(MOD(F38,1000000)&gt;=100000,INDEX(numbers,TRUNC(MOD(F38,1000000)/100000,0)+1)&amp;" Hundred","")&amp;IF(MOD(F38,100000)&gt;=20000," "&amp;INDEX(tens,TRUNC(MOD(F38,100000)/10000,0)+1)&amp;IF(MOD(MOD(F38,100000),10000)&gt;=1000,"-"&amp;INDEX(numbers,TRUNC(MOD(MOD(F38,100000),10000)/1000,0)+1),""),IF(MOD(F38,100000)&gt;=1000," "&amp;INDEX(numbers,TRUNC(MOD(F38,100000)/1000,0)+1),""))&amp;" Thousand") &amp; IF(F38&lt;1,"Zero Dollars",IF(MOD(F38,1000)&gt;=100," "&amp;INDEX(numbers,TRUNC(MOD(F38,1000)/100,0)+1)&amp;" Hundred","")&amp;IF(MOD(F38,100)&gt;=20," "&amp;INDEX(tens,TRUNC(MOD(F38,100)/10,0)+1)&amp;IF(MOD(MOD(F38,100),10)&gt;=1,"-"&amp;INDEX(numbers,TRUNC(MOD(MOD(F38,100),10),0)+1),""),IF(MOD(F38,100)&gt;=1," "&amp;INDEX(numbers,TRUNC(MOD(F38,100),0)+1),""))&amp;"") &amp; " and " &amp; IF(MOD(F38,1)&lt;0.005,"NO",ROUND(MOD(F38,1)*100,0)) &amp; "/100 -----------")</f>
        <v xml:space="preserve"> Three Thousand Four Hundred Twenty and NO/100 -----------</v>
      </c>
      <c r="C40" s="395"/>
      <c r="D40" s="395"/>
      <c r="E40" s="395"/>
      <c r="F40" s="395"/>
    </row>
    <row r="41" spans="1:6">
      <c r="A41" s="396"/>
    </row>
    <row r="42" spans="1:6" ht="25.5">
      <c r="A42" s="374" t="s">
        <v>10</v>
      </c>
      <c r="D42" s="397" t="s">
        <v>2894</v>
      </c>
      <c r="E42" s="398"/>
      <c r="F42" s="399"/>
    </row>
    <row r="43" spans="1:6">
      <c r="A43" s="400"/>
    </row>
    <row r="45" spans="1:6">
      <c r="A45" s="374" t="s">
        <v>51</v>
      </c>
      <c r="C45" s="401"/>
    </row>
    <row r="46" spans="1:6">
      <c r="A46" s="402"/>
      <c r="B46" s="402"/>
    </row>
    <row r="47" spans="1:6">
      <c r="D47" s="403" t="s">
        <v>7</v>
      </c>
    </row>
    <row r="48" spans="1:6">
      <c r="A48" s="374" t="s">
        <v>8</v>
      </c>
      <c r="F48" s="404"/>
    </row>
    <row r="52" spans="1:6">
      <c r="A52" s="402" t="s">
        <v>51</v>
      </c>
      <c r="B52" s="402"/>
      <c r="D52" s="402"/>
      <c r="E52" s="402"/>
      <c r="F52" s="402"/>
    </row>
    <row r="53" spans="1:6" s="407" customFormat="1" ht="17.100000000000001" customHeight="1">
      <c r="A53" s="405" t="s">
        <v>2948</v>
      </c>
      <c r="B53" s="406"/>
      <c r="C53" s="400"/>
      <c r="D53" s="400" t="s">
        <v>3</v>
      </c>
      <c r="E53" s="400"/>
      <c r="F53" s="400"/>
    </row>
    <row r="54" spans="1:6">
      <c r="A54" s="405"/>
      <c r="D54" s="374" t="s">
        <v>2</v>
      </c>
    </row>
    <row r="56" spans="1:6">
      <c r="D56" s="408" t="s">
        <v>1</v>
      </c>
    </row>
    <row r="57" spans="1:6">
      <c r="D57" s="408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3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1-000000000000}">
  <sheetPr codeName="Sheet440">
    <pageSetUpPr fitToPage="1"/>
  </sheetPr>
  <dimension ref="A1:I58"/>
  <sheetViews>
    <sheetView topLeftCell="A10" workbookViewId="0">
      <selection activeCell="A21" sqref="A21:XFD22"/>
    </sheetView>
  </sheetViews>
  <sheetFormatPr defaultRowHeight="12.75"/>
  <cols>
    <col min="1" max="1" width="15.85546875" style="1" customWidth="1"/>
    <col min="2" max="2" width="15.28515625" style="1" customWidth="1"/>
    <col min="3" max="3" width="0.85546875" style="1" customWidth="1"/>
    <col min="4" max="4" width="21" style="1" customWidth="1"/>
    <col min="5" max="5" width="0.85546875" style="1" customWidth="1"/>
    <col min="6" max="6" width="12.140625" style="1" customWidth="1"/>
    <col min="7" max="7" width="10.140625" style="1" customWidth="1"/>
    <col min="8" max="8" width="13.7109375" style="1" customWidth="1"/>
    <col min="9" max="16384" width="9.140625" style="1"/>
  </cols>
  <sheetData>
    <row r="1" spans="1:9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9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9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9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9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  <c r="I8" s="111"/>
    </row>
    <row r="9" spans="1:9">
      <c r="A9" s="111"/>
      <c r="B9" s="111"/>
      <c r="C9" s="111"/>
      <c r="D9" s="111"/>
      <c r="E9" s="111"/>
      <c r="F9" s="112" t="s">
        <v>1221</v>
      </c>
      <c r="G9" s="111" t="s">
        <v>7169</v>
      </c>
      <c r="H9" s="111"/>
      <c r="I9" s="111"/>
    </row>
    <row r="10" spans="1:9">
      <c r="A10" s="111" t="s">
        <v>7026</v>
      </c>
      <c r="B10" s="111"/>
      <c r="C10" s="111"/>
      <c r="D10" s="111"/>
      <c r="E10" s="111"/>
      <c r="F10" s="112" t="s">
        <v>1124</v>
      </c>
      <c r="G10" s="112" t="s">
        <v>7158</v>
      </c>
      <c r="H10" s="111"/>
      <c r="I10" s="111"/>
    </row>
    <row r="11" spans="1:9">
      <c r="A11" s="111"/>
      <c r="B11" s="111"/>
      <c r="C11" s="111"/>
      <c r="D11" s="111"/>
      <c r="E11" s="111"/>
      <c r="F11" s="112" t="s">
        <v>1125</v>
      </c>
      <c r="G11" s="112" t="s">
        <v>1094</v>
      </c>
      <c r="H11" s="111"/>
      <c r="I11" s="111"/>
    </row>
    <row r="12" spans="1:9">
      <c r="A12" s="111"/>
      <c r="B12" s="111"/>
      <c r="C12" s="111"/>
      <c r="D12" s="111"/>
      <c r="E12" s="111"/>
      <c r="F12" s="112" t="s">
        <v>1126</v>
      </c>
      <c r="G12" s="484" t="s">
        <v>7157</v>
      </c>
      <c r="H12" s="111"/>
      <c r="I12" s="111"/>
    </row>
    <row r="13" spans="1:9">
      <c r="A13" s="111"/>
      <c r="B13" s="111"/>
      <c r="C13" s="111"/>
      <c r="D13" s="111"/>
      <c r="E13" s="111"/>
      <c r="F13" s="111"/>
      <c r="G13" s="111"/>
      <c r="H13" s="111"/>
      <c r="I13" s="111"/>
    </row>
    <row r="14" spans="1:9">
      <c r="A14" s="111"/>
      <c r="B14" s="111"/>
      <c r="C14" s="111"/>
      <c r="D14" s="111"/>
      <c r="E14" s="111"/>
      <c r="F14" s="111"/>
      <c r="G14" s="111"/>
      <c r="H14" s="111"/>
      <c r="I14" s="111"/>
    </row>
    <row r="15" spans="1:9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9" s="15" customFormat="1" ht="20.100000000000001" customHeight="1">
      <c r="A16" s="18" t="s">
        <v>1193</v>
      </c>
      <c r="B16" s="129" t="s">
        <v>1114</v>
      </c>
      <c r="C16" s="18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  <c r="I17" s="111"/>
    </row>
    <row r="18" spans="1:9">
      <c r="D18" s="111" t="s">
        <v>4206</v>
      </c>
      <c r="E18" s="2"/>
      <c r="F18" s="111"/>
      <c r="G18" s="111"/>
      <c r="H18" s="111">
        <v>1500000</v>
      </c>
      <c r="I18" s="111"/>
    </row>
    <row r="19" spans="1:9">
      <c r="D19" s="111" t="s">
        <v>4207</v>
      </c>
      <c r="I19" s="111"/>
    </row>
    <row r="20" spans="1:9">
      <c r="A20" s="171"/>
      <c r="B20" s="121"/>
      <c r="C20" s="121"/>
      <c r="D20" s="111"/>
      <c r="E20" s="111"/>
      <c r="F20" s="111"/>
      <c r="G20" s="111"/>
      <c r="H20" s="111"/>
      <c r="I20" s="111"/>
    </row>
    <row r="21" spans="1:9">
      <c r="A21" s="171"/>
      <c r="B21" s="121"/>
      <c r="C21" s="121"/>
      <c r="D21" s="483"/>
      <c r="E21" s="483"/>
      <c r="F21" s="483"/>
      <c r="G21" s="483"/>
      <c r="H21" s="483"/>
      <c r="I21" s="483"/>
    </row>
    <row r="22" spans="1:9">
      <c r="A22" s="171"/>
      <c r="B22" s="121"/>
      <c r="C22" s="121"/>
      <c r="D22" s="483"/>
      <c r="E22" s="483"/>
      <c r="F22" s="483"/>
      <c r="G22" s="483"/>
      <c r="H22" s="483"/>
      <c r="I22" s="483"/>
    </row>
    <row r="23" spans="1:9">
      <c r="A23" s="125"/>
      <c r="B23" s="121"/>
      <c r="C23" s="121"/>
      <c r="D23" s="111"/>
      <c r="E23" s="111"/>
      <c r="H23" s="111"/>
      <c r="I23" s="111"/>
    </row>
    <row r="24" spans="1:9">
      <c r="A24" s="255"/>
      <c r="B24" s="121"/>
      <c r="C24" s="121"/>
      <c r="D24" s="111"/>
      <c r="H24" s="111"/>
      <c r="I24" s="111"/>
    </row>
    <row r="25" spans="1:9">
      <c r="A25" s="171"/>
      <c r="B25" s="121"/>
      <c r="C25" s="121"/>
      <c r="D25" s="111"/>
      <c r="E25" s="111"/>
      <c r="F25" s="111"/>
      <c r="H25" s="111"/>
      <c r="I25" s="111"/>
    </row>
    <row r="26" spans="1:9">
      <c r="A26" s="172"/>
      <c r="B26" s="121"/>
      <c r="C26" s="121"/>
      <c r="D26" s="111"/>
      <c r="E26" s="111"/>
      <c r="H26" s="111"/>
      <c r="I26" s="111"/>
    </row>
    <row r="27" spans="1:9">
      <c r="A27" s="171"/>
      <c r="B27" s="121"/>
      <c r="C27" s="121"/>
      <c r="D27" s="111"/>
      <c r="E27" s="111"/>
      <c r="H27" s="111"/>
      <c r="I27" s="111"/>
    </row>
    <row r="28" spans="1:9">
      <c r="A28" s="171"/>
      <c r="B28" s="121"/>
      <c r="C28" s="121"/>
      <c r="D28" s="111"/>
      <c r="E28" s="111"/>
      <c r="F28" s="111"/>
      <c r="G28" s="111"/>
      <c r="H28" s="111"/>
      <c r="I28" s="111"/>
    </row>
    <row r="29" spans="1:9">
      <c r="A29" s="172"/>
      <c r="B29" s="121"/>
      <c r="C29" s="121"/>
      <c r="D29" s="111"/>
      <c r="E29" s="111"/>
      <c r="F29" s="111"/>
      <c r="G29" s="111"/>
      <c r="H29" s="111"/>
      <c r="I29" s="111"/>
    </row>
    <row r="30" spans="1:9">
      <c r="A30" s="171"/>
      <c r="B30" s="121"/>
      <c r="C30" s="121"/>
      <c r="D30" s="111"/>
      <c r="E30" s="111"/>
      <c r="F30" s="111"/>
      <c r="G30" s="111"/>
      <c r="H30" s="111"/>
      <c r="I30" s="111"/>
    </row>
    <row r="31" spans="1:9">
      <c r="A31" s="125"/>
      <c r="B31" s="121"/>
      <c r="C31" s="121"/>
      <c r="D31" s="111"/>
      <c r="E31" s="111"/>
      <c r="H31" s="111"/>
      <c r="I31" s="111"/>
    </row>
    <row r="32" spans="1:9">
      <c r="A32" s="171"/>
      <c r="B32" s="121"/>
      <c r="C32" s="121"/>
      <c r="D32" s="111"/>
      <c r="E32" s="111"/>
      <c r="F32" s="111"/>
      <c r="G32" s="111"/>
      <c r="H32" s="111"/>
      <c r="I32" s="111"/>
    </row>
    <row r="33" spans="1:9">
      <c r="A33" s="172"/>
      <c r="B33" s="121"/>
      <c r="C33" s="121"/>
      <c r="D33" s="111"/>
      <c r="E33" s="111"/>
      <c r="F33" s="111"/>
      <c r="G33" s="111"/>
      <c r="I33" s="111"/>
    </row>
    <row r="34" spans="1:9" ht="13.5" thickBot="1">
      <c r="A34" s="125"/>
      <c r="B34" s="121"/>
      <c r="C34" s="121"/>
      <c r="D34" s="111"/>
      <c r="E34" s="111"/>
      <c r="H34" s="117">
        <f>SUM(H18:H33)</f>
        <v>1500000</v>
      </c>
      <c r="I34" s="111"/>
    </row>
    <row r="35" spans="1:9" ht="13.5" thickTop="1">
      <c r="A35" s="111"/>
      <c r="B35" s="111"/>
      <c r="C35" s="111"/>
      <c r="D35" s="111"/>
      <c r="E35" s="111"/>
      <c r="F35" s="111"/>
      <c r="G35" s="111"/>
      <c r="H35" s="111"/>
      <c r="I35" s="111"/>
    </row>
    <row r="36" spans="1:9" ht="20.100000000000001" customHeight="1">
      <c r="A36" s="118" t="s">
        <v>204</v>
      </c>
      <c r="B36" s="202" t="s">
        <v>7159</v>
      </c>
      <c r="C36" s="202"/>
      <c r="D36" s="119"/>
      <c r="E36" s="119"/>
      <c r="F36" s="119"/>
      <c r="G36" s="119"/>
      <c r="H36" s="119"/>
      <c r="I36" s="111"/>
    </row>
    <row r="37" spans="1:9">
      <c r="A37" s="120" t="s">
        <v>11</v>
      </c>
      <c r="B37" s="111"/>
      <c r="C37" s="111"/>
      <c r="D37" s="111"/>
      <c r="E37" s="111"/>
      <c r="F37" s="111"/>
      <c r="G37" s="111"/>
      <c r="H37" s="111"/>
      <c r="I37" s="111"/>
    </row>
    <row r="38" spans="1:9" ht="25.5">
      <c r="A38" s="111" t="s">
        <v>10</v>
      </c>
      <c r="B38" s="111"/>
      <c r="C38" s="111"/>
      <c r="D38" s="123" t="s">
        <v>8</v>
      </c>
      <c r="E38" s="111"/>
      <c r="F38" s="265" t="s">
        <v>2894</v>
      </c>
      <c r="G38" s="266"/>
      <c r="H38" s="267"/>
      <c r="I38" s="111"/>
    </row>
    <row r="39" spans="1:9">
      <c r="A39" s="111"/>
      <c r="B39" s="111"/>
      <c r="C39" s="111"/>
      <c r="D39" s="111"/>
      <c r="E39" s="111"/>
      <c r="F39" s="111"/>
      <c r="G39" s="111"/>
      <c r="H39" s="111"/>
      <c r="I39" s="111"/>
    </row>
    <row r="40" spans="1:9">
      <c r="A40" s="126"/>
      <c r="B40" s="111"/>
      <c r="C40" s="111"/>
      <c r="D40" s="111"/>
      <c r="E40" s="111"/>
    </row>
    <row r="41" spans="1:9">
      <c r="A41" s="111" t="s">
        <v>52</v>
      </c>
      <c r="B41" s="111"/>
      <c r="C41" s="111"/>
      <c r="D41" s="111"/>
      <c r="E41" s="121"/>
      <c r="F41" s="111"/>
      <c r="G41" s="111"/>
      <c r="H41" s="111"/>
      <c r="I41" s="111"/>
    </row>
    <row r="42" spans="1:9">
      <c r="A42" s="122"/>
      <c r="B42" s="122"/>
      <c r="C42" s="111"/>
      <c r="D42" s="122" t="s">
        <v>51</v>
      </c>
      <c r="E42" s="111"/>
      <c r="F42" s="111"/>
      <c r="G42" s="111"/>
      <c r="H42" s="111"/>
      <c r="I42" s="111"/>
    </row>
    <row r="43" spans="1:9">
      <c r="A43" s="111"/>
      <c r="B43" s="111"/>
      <c r="C43" s="111"/>
      <c r="D43" s="151" t="s">
        <v>103</v>
      </c>
      <c r="E43" s="111"/>
      <c r="F43" s="111"/>
      <c r="G43" s="111"/>
      <c r="H43" s="111"/>
      <c r="I43" s="111"/>
    </row>
    <row r="44" spans="1:9">
      <c r="A44" s="111"/>
      <c r="B44" s="111"/>
      <c r="C44" s="111"/>
      <c r="D44" s="151"/>
      <c r="E44" s="111"/>
      <c r="F44" s="111"/>
      <c r="G44" s="111"/>
      <c r="H44" s="111"/>
      <c r="I44" s="111"/>
    </row>
    <row r="45" spans="1:9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  <c r="I45" s="111"/>
    </row>
    <row r="46" spans="1:9">
      <c r="A46" s="111"/>
      <c r="B46" s="111"/>
      <c r="C46" s="111"/>
      <c r="D46" s="111"/>
      <c r="E46" s="111"/>
      <c r="F46" s="111"/>
      <c r="G46" s="111"/>
      <c r="H46" s="111"/>
      <c r="I46" s="111"/>
    </row>
    <row r="47" spans="1:9">
      <c r="A47" s="111"/>
      <c r="B47" s="111"/>
      <c r="C47" s="111"/>
      <c r="D47" s="111"/>
      <c r="E47" s="111"/>
      <c r="F47" s="111"/>
      <c r="G47" s="111"/>
      <c r="H47" s="111"/>
      <c r="I47" s="111"/>
    </row>
    <row r="48" spans="1:9">
      <c r="A48" s="111"/>
      <c r="B48" s="111"/>
      <c r="C48" s="111"/>
      <c r="D48" s="111"/>
      <c r="E48" s="111"/>
      <c r="F48" s="111"/>
      <c r="G48" s="111"/>
      <c r="H48" s="111"/>
      <c r="I48" s="111"/>
    </row>
    <row r="49" spans="1:9">
      <c r="A49" s="122" t="s">
        <v>51</v>
      </c>
      <c r="B49" s="122"/>
      <c r="C49" s="111"/>
      <c r="D49" s="122" t="s">
        <v>51</v>
      </c>
      <c r="E49" s="111"/>
      <c r="F49" s="122"/>
      <c r="G49" s="122"/>
      <c r="H49" s="122"/>
      <c r="I49" s="111"/>
    </row>
    <row r="50" spans="1:9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  <c r="I50" s="126"/>
    </row>
    <row r="51" spans="1:9">
      <c r="A51" s="111"/>
      <c r="B51" s="111"/>
      <c r="C51" s="111"/>
      <c r="D51" s="111"/>
      <c r="E51" s="111"/>
      <c r="F51" s="111" t="s">
        <v>2</v>
      </c>
      <c r="G51" s="111"/>
      <c r="H51" s="111"/>
      <c r="I51" s="111"/>
    </row>
    <row r="52" spans="1:9">
      <c r="A52" s="151"/>
      <c r="B52" s="111"/>
      <c r="C52" s="111"/>
      <c r="D52" s="111"/>
      <c r="E52" s="111"/>
      <c r="F52" s="111"/>
      <c r="G52" s="111"/>
      <c r="H52" s="111"/>
      <c r="I52" s="111"/>
    </row>
    <row r="53" spans="1:9">
      <c r="A53" s="111"/>
      <c r="B53" s="111"/>
      <c r="C53" s="111"/>
      <c r="D53" s="111"/>
      <c r="E53" s="111"/>
      <c r="F53" s="2" t="s">
        <v>1</v>
      </c>
      <c r="G53" s="111"/>
      <c r="H53" s="111"/>
      <c r="I53" s="111"/>
    </row>
    <row r="54" spans="1:9">
      <c r="A54" s="111"/>
      <c r="B54" s="111"/>
      <c r="C54" s="111"/>
      <c r="D54" s="111"/>
      <c r="E54" s="111"/>
      <c r="F54" s="2" t="s">
        <v>0</v>
      </c>
      <c r="G54" s="111"/>
      <c r="H54" s="111"/>
      <c r="I54" s="111"/>
    </row>
    <row r="55" spans="1:9">
      <c r="A55" s="111"/>
      <c r="B55" s="111"/>
      <c r="C55" s="111"/>
      <c r="D55" s="111"/>
      <c r="E55" s="111"/>
      <c r="F55" s="111"/>
      <c r="G55" s="111"/>
      <c r="H55" s="111"/>
      <c r="I55" s="111"/>
    </row>
    <row r="56" spans="1:9">
      <c r="A56" s="111"/>
      <c r="B56" s="111"/>
      <c r="C56" s="111"/>
      <c r="D56" s="111"/>
      <c r="E56" s="111"/>
      <c r="F56" s="111"/>
      <c r="G56" s="111"/>
      <c r="H56" s="111"/>
      <c r="I56" s="111"/>
    </row>
    <row r="57" spans="1:9">
      <c r="A57" s="111"/>
      <c r="B57" s="111"/>
      <c r="C57" s="111"/>
      <c r="D57" s="111"/>
      <c r="E57" s="111"/>
      <c r="F57" s="111"/>
      <c r="G57" s="111"/>
      <c r="H57" s="111"/>
      <c r="I57" s="111"/>
    </row>
    <row r="58" spans="1:9">
      <c r="A58" s="111"/>
      <c r="B58" s="111"/>
      <c r="C58" s="111"/>
      <c r="D58" s="111"/>
      <c r="E58" s="111"/>
      <c r="F58" s="111"/>
      <c r="G58" s="111"/>
      <c r="H58" s="111"/>
      <c r="I58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72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4537</v>
      </c>
      <c r="F9" s="111"/>
    </row>
    <row r="10" spans="1:6">
      <c r="A10" s="111" t="s">
        <v>4539</v>
      </c>
      <c r="B10" s="111"/>
      <c r="C10" s="111"/>
      <c r="D10" s="112" t="s">
        <v>1162</v>
      </c>
      <c r="E10" s="111" t="s">
        <v>4529</v>
      </c>
      <c r="F10" s="111"/>
    </row>
    <row r="11" spans="1:6">
      <c r="A11" s="111" t="s">
        <v>4540</v>
      </c>
      <c r="B11" s="111"/>
      <c r="C11" s="111"/>
      <c r="D11" s="112" t="s">
        <v>1163</v>
      </c>
      <c r="E11" s="111" t="s">
        <v>1094</v>
      </c>
      <c r="F11" s="111"/>
    </row>
    <row r="12" spans="1:6">
      <c r="A12" s="111" t="s">
        <v>4541</v>
      </c>
      <c r="B12" s="111"/>
      <c r="C12" s="111"/>
      <c r="D12" s="112" t="s">
        <v>1096</v>
      </c>
      <c r="E12" s="111" t="s">
        <v>4538</v>
      </c>
      <c r="F12" s="111"/>
    </row>
    <row r="13" spans="1:6">
      <c r="A13" s="111" t="s">
        <v>4542</v>
      </c>
      <c r="B13" s="111"/>
      <c r="C13" s="111"/>
      <c r="D13" s="111"/>
      <c r="E13" s="111"/>
      <c r="F13" s="111"/>
    </row>
    <row r="14" spans="1:6">
      <c r="A14" s="111" t="s">
        <v>4543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8">
      <c r="A17" s="111"/>
      <c r="B17" s="111"/>
      <c r="C17" s="111"/>
      <c r="D17" s="111"/>
      <c r="E17" s="111"/>
      <c r="F17" s="111"/>
    </row>
    <row r="18" spans="1:8">
      <c r="A18" s="111"/>
      <c r="B18" s="111"/>
      <c r="C18" s="2" t="s">
        <v>3096</v>
      </c>
      <c r="D18" s="111"/>
      <c r="E18" s="111"/>
      <c r="F18" s="111"/>
    </row>
    <row r="19" spans="1:8">
      <c r="A19" s="161"/>
      <c r="B19" s="116"/>
      <c r="C19" s="111"/>
      <c r="D19" s="111"/>
      <c r="E19" s="111"/>
      <c r="F19" s="111"/>
      <c r="G19" s="111"/>
      <c r="H19" s="111"/>
    </row>
    <row r="20" spans="1:8">
      <c r="A20" s="116" t="s">
        <v>4517</v>
      </c>
      <c r="B20" s="116" t="s">
        <v>4544</v>
      </c>
      <c r="C20" s="111" t="s">
        <v>4545</v>
      </c>
      <c r="D20" s="111"/>
      <c r="E20" s="111"/>
      <c r="F20" s="111">
        <v>240</v>
      </c>
    </row>
    <row r="21" spans="1:8">
      <c r="A21" s="161"/>
      <c r="B21" s="116"/>
      <c r="C21" s="111" t="s">
        <v>1814</v>
      </c>
      <c r="D21" s="111"/>
      <c r="E21" s="111"/>
      <c r="F21" s="111">
        <f>F20*6%</f>
        <v>14.399999999999999</v>
      </c>
    </row>
    <row r="22" spans="1:8">
      <c r="A22" s="116"/>
      <c r="B22" s="116"/>
      <c r="C22" s="111"/>
      <c r="D22" s="111"/>
      <c r="E22" s="111"/>
      <c r="F22" s="111"/>
    </row>
    <row r="23" spans="1:8">
      <c r="A23" s="161" t="s">
        <v>4516</v>
      </c>
      <c r="B23" s="116" t="s">
        <v>4546</v>
      </c>
      <c r="C23" s="111" t="s">
        <v>4547</v>
      </c>
      <c r="D23" s="111"/>
      <c r="E23" s="111"/>
      <c r="F23" s="111">
        <v>1122</v>
      </c>
    </row>
    <row r="24" spans="1:8">
      <c r="A24" s="116"/>
      <c r="B24" s="116"/>
      <c r="C24" s="111" t="s">
        <v>1814</v>
      </c>
      <c r="D24" s="111"/>
      <c r="E24" s="111"/>
      <c r="F24" s="111">
        <f>F23*6%</f>
        <v>67.319999999999993</v>
      </c>
    </row>
    <row r="25" spans="1:8">
      <c r="A25" s="161"/>
      <c r="B25" s="116"/>
      <c r="C25" s="111"/>
      <c r="D25" s="111"/>
      <c r="E25" s="111"/>
      <c r="F25" s="111"/>
    </row>
    <row r="26" spans="1:8">
      <c r="A26" s="116"/>
      <c r="B26" s="116"/>
      <c r="C26" s="111"/>
      <c r="F26" s="111"/>
    </row>
    <row r="27" spans="1:8">
      <c r="A27" s="161"/>
      <c r="B27" s="116"/>
      <c r="C27" s="111"/>
      <c r="D27" s="111"/>
      <c r="E27" s="111"/>
      <c r="F27" s="111"/>
    </row>
    <row r="28" spans="1:8">
      <c r="A28" s="111"/>
      <c r="B28" s="111"/>
      <c r="C28" s="111"/>
      <c r="D28" s="111"/>
      <c r="E28" s="111"/>
      <c r="F28" s="111"/>
    </row>
    <row r="29" spans="1:8">
      <c r="A29" s="111"/>
      <c r="B29" s="111"/>
      <c r="C29" s="111"/>
      <c r="D29" s="111"/>
      <c r="E29" s="111"/>
      <c r="F29" s="111"/>
    </row>
    <row r="30" spans="1:8">
      <c r="A30" s="111"/>
      <c r="B30" s="111"/>
      <c r="C30" s="111"/>
      <c r="D30" s="111"/>
      <c r="E30" s="111"/>
      <c r="F30" s="111"/>
    </row>
    <row r="31" spans="1:8">
      <c r="A31" s="111"/>
      <c r="B31" s="111"/>
      <c r="C31" s="111"/>
      <c r="D31" s="111"/>
      <c r="E31" s="111"/>
      <c r="F31" s="111"/>
    </row>
    <row r="32" spans="1:8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SUM(F18:F32)</f>
        <v>1443.72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Four Hundred Forty-Three and 72/100 -----------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 ht="25.5">
      <c r="A37" s="111" t="s">
        <v>10</v>
      </c>
      <c r="B37" s="111"/>
      <c r="C37" s="111"/>
      <c r="D37" s="265" t="s">
        <v>2894</v>
      </c>
      <c r="E37" s="266"/>
      <c r="F37" s="267"/>
    </row>
    <row r="38" spans="1:6">
      <c r="A38" s="111"/>
      <c r="B38" s="111"/>
      <c r="C38" s="111"/>
      <c r="D38" s="111"/>
      <c r="E38" s="111"/>
      <c r="F38" s="111"/>
    </row>
    <row r="39" spans="1:6">
      <c r="A39" s="126"/>
      <c r="B39" s="111"/>
      <c r="C39" s="111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51" t="s">
        <v>2948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/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3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1-000000000000}">
  <sheetPr codeName="Sheet441">
    <pageSetUpPr fitToPage="1"/>
  </sheetPr>
  <dimension ref="A1:O58"/>
  <sheetViews>
    <sheetView view="pageBreakPreview" topLeftCell="A25" zoomScaleNormal="100" zoomScaleSheetLayoutView="100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28515625" style="111" customWidth="1"/>
    <col min="4" max="4" width="22.42578125" style="111" customWidth="1"/>
    <col min="5" max="5" width="1.710937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1481</v>
      </c>
      <c r="B4" s="530"/>
      <c r="C4" s="530"/>
      <c r="D4" s="530"/>
      <c r="E4" s="530"/>
      <c r="F4" s="530"/>
      <c r="G4" s="530"/>
      <c r="H4" s="530"/>
    </row>
    <row r="7" spans="1:15">
      <c r="L7" s="111" t="s">
        <v>4052</v>
      </c>
      <c r="M7" s="111">
        <v>42703</v>
      </c>
      <c r="N7" s="111" t="s">
        <v>1094</v>
      </c>
      <c r="O7" s="111" t="s">
        <v>4053</v>
      </c>
    </row>
    <row r="8" spans="1:15">
      <c r="A8" s="111" t="s">
        <v>24</v>
      </c>
      <c r="F8" s="22" t="s">
        <v>23</v>
      </c>
    </row>
    <row r="9" spans="1:15">
      <c r="F9" s="112" t="s">
        <v>1134</v>
      </c>
      <c r="G9" s="111" t="s">
        <v>4423</v>
      </c>
    </row>
    <row r="10" spans="1:15">
      <c r="A10" s="111" t="s">
        <v>4123</v>
      </c>
      <c r="F10" s="112" t="s">
        <v>1180</v>
      </c>
      <c r="G10" s="123" t="s">
        <v>4422</v>
      </c>
    </row>
    <row r="11" spans="1:15">
      <c r="A11" s="111" t="s">
        <v>4124</v>
      </c>
      <c r="F11" s="112" t="s">
        <v>1181</v>
      </c>
      <c r="G11" s="112" t="s">
        <v>1094</v>
      </c>
    </row>
    <row r="12" spans="1:15">
      <c r="A12" s="111" t="s">
        <v>4125</v>
      </c>
      <c r="F12" s="112" t="s">
        <v>1182</v>
      </c>
      <c r="G12" s="112" t="s">
        <v>4424</v>
      </c>
    </row>
    <row r="13" spans="1:15">
      <c r="A13" s="111" t="s">
        <v>4126</v>
      </c>
      <c r="G13" s="131"/>
    </row>
    <row r="14" spans="1:15">
      <c r="A14" s="111" t="s">
        <v>2921</v>
      </c>
    </row>
    <row r="16" spans="1:15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11">
      <c r="A18" s="116"/>
      <c r="B18" s="121"/>
      <c r="C18" s="121"/>
      <c r="D18" s="2" t="s">
        <v>3125</v>
      </c>
      <c r="E18" s="2"/>
    </row>
    <row r="20" spans="1:11">
      <c r="A20" s="116" t="s">
        <v>4425</v>
      </c>
      <c r="B20" s="121" t="s">
        <v>4426</v>
      </c>
      <c r="C20" s="121"/>
      <c r="D20" s="111" t="s">
        <v>4127</v>
      </c>
      <c r="H20" s="111">
        <v>3144.34</v>
      </c>
    </row>
    <row r="21" spans="1:11">
      <c r="D21" s="111" t="s">
        <v>4427</v>
      </c>
    </row>
    <row r="22" spans="1:11">
      <c r="K22" s="111" t="s">
        <v>3930</v>
      </c>
    </row>
    <row r="23" spans="1:11">
      <c r="A23" s="116"/>
      <c r="B23" s="121"/>
      <c r="C23" s="121"/>
      <c r="D23" s="111" t="s">
        <v>4127</v>
      </c>
      <c r="H23" s="111">
        <v>3144.34</v>
      </c>
      <c r="K23" s="111" t="s">
        <v>3929</v>
      </c>
    </row>
    <row r="24" spans="1:11">
      <c r="A24" s="116"/>
      <c r="B24" s="121"/>
      <c r="C24" s="121"/>
      <c r="D24" s="111" t="s">
        <v>4428</v>
      </c>
    </row>
    <row r="26" spans="1:11">
      <c r="D26" s="111" t="s">
        <v>4127</v>
      </c>
      <c r="H26" s="111">
        <v>3145.28</v>
      </c>
    </row>
    <row r="27" spans="1:11">
      <c r="D27" s="111" t="s">
        <v>4429</v>
      </c>
    </row>
    <row r="29" spans="1:11">
      <c r="D29" s="111" t="s">
        <v>1814</v>
      </c>
      <c r="H29" s="111">
        <f>SUM(H20+H23+H26)*6%</f>
        <v>566.0376</v>
      </c>
    </row>
    <row r="30" spans="1:11">
      <c r="A30" s="116"/>
      <c r="B30" s="121"/>
      <c r="C30" s="121"/>
    </row>
    <row r="31" spans="1:11">
      <c r="A31" s="116"/>
      <c r="B31" s="121"/>
      <c r="C31" s="121"/>
    </row>
    <row r="33" spans="1:8">
      <c r="A33" s="116"/>
      <c r="B33" s="121"/>
      <c r="C33" s="121"/>
    </row>
    <row r="34" spans="1:8">
      <c r="A34" s="116"/>
      <c r="B34" s="121"/>
      <c r="C34" s="121"/>
    </row>
    <row r="38" spans="1:8">
      <c r="H38" s="122"/>
    </row>
    <row r="39" spans="1:8" ht="13.5" thickBot="1">
      <c r="H39" s="127">
        <f>SUM(H18:H37)</f>
        <v>9999.9976000000006</v>
      </c>
    </row>
    <row r="40" spans="1:8" ht="13.5" thickTop="1"/>
    <row r="41" spans="1:8" ht="20.100000000000001" customHeight="1">
      <c r="A41" s="118" t="s">
        <v>204</v>
      </c>
      <c r="B41" s="202" t="str">
        <f>IF(OR(H39&gt;1000000,H39&lt;=0),"",IF(H39&lt;1000,"",IF(MOD(H39,1000000)&gt;=100000,INDEX(numbers,TRUNC(MOD(H39,1000000)/100000,0)+1)&amp;" Hundred","")&amp;IF(MOD(H39,100000)&gt;=20000," "&amp;INDEX(tens,TRUNC(MOD(H39,100000)/10000,0)+1)&amp;IF(MOD(MOD(H39,100000),10000)&gt;=1000,"-"&amp;INDEX(numbers,TRUNC(MOD(MOD(H39,100000),10000)/1000,0)+1),""),IF(MOD(H39,100000)&gt;=1000," "&amp;INDEX(numbers,TRUNC(MOD(H39,100000)/1000,0)+1),""))&amp;" Thousand") &amp; IF(H39&lt;1,"Zero Dollars",IF(MOD(H39,1000)&gt;=100," "&amp;INDEX(numbers,TRUNC(MOD(H39,1000)/100,0)+1)&amp;" Hundred","")&amp;IF(MOD(H39,100)&gt;=20," "&amp;INDEX(tens,TRUNC(MOD(H39,100)/10,0)+1)&amp;IF(MOD(MOD(H39,100),10)&gt;=1,"-"&amp;INDEX(numbers,TRUNC(MOD(MOD(H39,100),10),0)+1),""),IF(MOD(H39,100)&gt;=1," "&amp;INDEX(numbers,TRUNC(MOD(H39,100),0)+1),""))&amp;"") &amp; " and " &amp; IF(MOD(H39,1)&lt;0.005,"NO",ROUND(MOD(H39,1)*100,0)) &amp; "/100 -----------")</f>
        <v xml:space="preserve"> Nine Thousand Nine Hundred Ninety-Nine and 100/100 -----------</v>
      </c>
      <c r="C41" s="202"/>
      <c r="D41" s="119"/>
      <c r="E41" s="119"/>
      <c r="F41" s="119"/>
      <c r="G41" s="119"/>
      <c r="H41" s="119"/>
    </row>
    <row r="42" spans="1:8">
      <c r="A42" s="120" t="s">
        <v>11</v>
      </c>
    </row>
    <row r="43" spans="1:8" ht="25.5">
      <c r="A43" s="126" t="s">
        <v>10</v>
      </c>
      <c r="F43" s="265" t="s">
        <v>2894</v>
      </c>
      <c r="G43" s="266"/>
      <c r="H43" s="267"/>
    </row>
    <row r="46" spans="1:8">
      <c r="A46" s="111" t="s">
        <v>52</v>
      </c>
      <c r="D46" s="121"/>
      <c r="E46" s="121"/>
    </row>
    <row r="47" spans="1:8">
      <c r="A47" s="122"/>
      <c r="B47" s="122"/>
    </row>
    <row r="49" spans="1:8">
      <c r="A49" s="123" t="s">
        <v>8</v>
      </c>
      <c r="D49" s="123" t="s">
        <v>8</v>
      </c>
      <c r="F49" s="123" t="s">
        <v>7</v>
      </c>
      <c r="H49" s="124"/>
    </row>
    <row r="53" spans="1:8">
      <c r="A53" s="122" t="s">
        <v>51</v>
      </c>
      <c r="B53" s="122"/>
      <c r="D53" s="122" t="s">
        <v>51</v>
      </c>
      <c r="F53" s="122"/>
      <c r="G53" s="122"/>
      <c r="H53" s="122"/>
    </row>
    <row r="54" spans="1:8" s="126" customFormat="1" ht="17.100000000000001" customHeight="1">
      <c r="A54" s="151" t="s">
        <v>2948</v>
      </c>
      <c r="B54" s="125"/>
      <c r="C54" s="125"/>
      <c r="D54" s="151" t="s">
        <v>103</v>
      </c>
      <c r="F54" s="126" t="s">
        <v>3</v>
      </c>
    </row>
    <row r="55" spans="1:8">
      <c r="F55" s="111" t="s">
        <v>2</v>
      </c>
    </row>
    <row r="57" spans="1:8">
      <c r="F57" s="2" t="s">
        <v>1</v>
      </c>
    </row>
    <row r="58" spans="1:8">
      <c r="F58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3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1-000000000000}">
  <sheetPr codeName="Sheet442">
    <pageSetUpPr fitToPage="1"/>
  </sheetPr>
  <dimension ref="A1:H53"/>
  <sheetViews>
    <sheetView topLeftCell="A4" workbookViewId="0">
      <selection activeCell="G9" sqref="G9:G13"/>
    </sheetView>
  </sheetViews>
  <sheetFormatPr defaultRowHeight="12.75"/>
  <cols>
    <col min="1" max="1" width="16" style="131" customWidth="1"/>
    <col min="2" max="2" width="13.7109375" style="131" customWidth="1"/>
    <col min="3" max="3" width="1.28515625" style="131" customWidth="1"/>
    <col min="4" max="4" width="21" style="131" customWidth="1"/>
    <col min="5" max="5" width="1.42578125" style="131" customWidth="1"/>
    <col min="6" max="6" width="16.42578125" style="131" customWidth="1"/>
    <col min="7" max="7" width="9" style="131" customWidth="1"/>
    <col min="8" max="8" width="13.28515625" style="131" customWidth="1"/>
    <col min="9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1110</v>
      </c>
      <c r="G9" s="111" t="s">
        <v>4802</v>
      </c>
    </row>
    <row r="10" spans="1:8">
      <c r="A10" s="131" t="s">
        <v>4202</v>
      </c>
      <c r="F10" s="132" t="s">
        <v>1685</v>
      </c>
      <c r="G10" s="112" t="s">
        <v>4804</v>
      </c>
    </row>
    <row r="11" spans="1:8">
      <c r="A11" s="131" t="s">
        <v>4203</v>
      </c>
      <c r="F11" s="132" t="s">
        <v>1163</v>
      </c>
      <c r="G11" s="112" t="s">
        <v>1094</v>
      </c>
    </row>
    <row r="12" spans="1:8">
      <c r="F12" s="132" t="s">
        <v>1188</v>
      </c>
      <c r="G12" s="120" t="s">
        <v>4803</v>
      </c>
    </row>
    <row r="16" spans="1:8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7" spans="1:8">
      <c r="A17" s="177"/>
    </row>
    <row r="18" spans="1:8">
      <c r="A18" s="158"/>
      <c r="E18" s="110"/>
    </row>
    <row r="19" spans="1:8">
      <c r="A19" s="177"/>
      <c r="B19" s="344" t="s">
        <v>4805</v>
      </c>
      <c r="D19" s="131" t="s">
        <v>4810</v>
      </c>
      <c r="E19" s="110"/>
      <c r="H19" s="131">
        <f>768+384</f>
        <v>1152</v>
      </c>
    </row>
    <row r="20" spans="1:8">
      <c r="A20" s="254"/>
      <c r="B20" s="158"/>
      <c r="C20" s="158"/>
      <c r="D20" s="131" t="s">
        <v>4806</v>
      </c>
      <c r="H20" s="131">
        <f>672+384+384</f>
        <v>1440</v>
      </c>
    </row>
    <row r="21" spans="1:8">
      <c r="A21" s="177"/>
      <c r="D21" s="131" t="s">
        <v>4807</v>
      </c>
      <c r="H21" s="131">
        <f>768+128</f>
        <v>896</v>
      </c>
    </row>
    <row r="22" spans="1:8">
      <c r="A22" s="177"/>
      <c r="D22" s="131" t="s">
        <v>4808</v>
      </c>
      <c r="H22" s="131">
        <f>480+160+384+264</f>
        <v>1288</v>
      </c>
    </row>
    <row r="23" spans="1:8">
      <c r="A23" s="158"/>
      <c r="B23" s="141"/>
      <c r="D23" s="131" t="s">
        <v>4809</v>
      </c>
      <c r="E23" s="110"/>
      <c r="H23" s="131">
        <f>720</f>
        <v>720</v>
      </c>
    </row>
    <row r="24" spans="1:8">
      <c r="A24" s="254"/>
      <c r="B24" s="158"/>
      <c r="C24" s="158"/>
      <c r="D24" s="131" t="s">
        <v>4811</v>
      </c>
      <c r="H24" s="131">
        <f>1920</f>
        <v>1920</v>
      </c>
    </row>
    <row r="25" spans="1:8">
      <c r="A25" s="177"/>
      <c r="D25" s="131" t="s">
        <v>4812</v>
      </c>
      <c r="H25" s="131">
        <f>760</f>
        <v>760</v>
      </c>
    </row>
    <row r="26" spans="1:8">
      <c r="A26" s="177"/>
      <c r="D26" s="131" t="s">
        <v>4813</v>
      </c>
      <c r="H26" s="131">
        <v>512</v>
      </c>
    </row>
    <row r="27" spans="1:8">
      <c r="A27" s="158"/>
      <c r="D27" s="131" t="s">
        <v>4814</v>
      </c>
      <c r="E27" s="110"/>
      <c r="H27" s="131">
        <v>1536</v>
      </c>
    </row>
    <row r="28" spans="1:8">
      <c r="D28" s="131" t="s">
        <v>4815</v>
      </c>
      <c r="H28" s="131">
        <f>7680+1520</f>
        <v>9200</v>
      </c>
    </row>
    <row r="29" spans="1:8">
      <c r="A29" s="158"/>
      <c r="D29" s="131" t="s">
        <v>4816</v>
      </c>
      <c r="H29" s="131">
        <v>9216</v>
      </c>
    </row>
    <row r="30" spans="1:8">
      <c r="A30" s="158"/>
      <c r="B30" s="86"/>
      <c r="C30" s="86"/>
      <c r="D30" s="131" t="s">
        <v>4817</v>
      </c>
      <c r="H30" s="131">
        <v>1920</v>
      </c>
    </row>
    <row r="31" spans="1:8">
      <c r="A31" s="86"/>
      <c r="B31" s="86"/>
      <c r="C31" s="86"/>
      <c r="E31" s="86"/>
      <c r="F31" s="86"/>
      <c r="G31" s="86"/>
    </row>
    <row r="32" spans="1:8">
      <c r="A32" s="177"/>
      <c r="H32" s="86"/>
    </row>
    <row r="33" spans="1:8" ht="13.5" thickBot="1">
      <c r="A33" s="177"/>
      <c r="H33" s="137">
        <f>SUM(H18:H31)</f>
        <v>30560</v>
      </c>
    </row>
    <row r="34" spans="1:8" ht="13.5" thickTop="1">
      <c r="A34" s="177"/>
    </row>
    <row r="35" spans="1:8" ht="20.100000000000001" customHeight="1">
      <c r="A35" s="138" t="s">
        <v>1686</v>
      </c>
      <c r="B35" s="204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Thirty Thousand Five Hundred Sixty and NO/100 -----------</v>
      </c>
      <c r="C35" s="204"/>
      <c r="D35" s="139"/>
      <c r="E35" s="139"/>
      <c r="F35" s="139"/>
      <c r="G35" s="139"/>
      <c r="H35" s="139"/>
    </row>
    <row r="36" spans="1:8">
      <c r="A36" s="140"/>
    </row>
    <row r="37" spans="1:8" ht="25.5">
      <c r="A37" s="131" t="s">
        <v>10</v>
      </c>
      <c r="F37" s="283" t="s">
        <v>2894</v>
      </c>
      <c r="G37" s="284"/>
      <c r="H37" s="285"/>
    </row>
    <row r="39" spans="1:8">
      <c r="F39" s="291"/>
      <c r="G39" s="291"/>
      <c r="H39" s="291"/>
    </row>
    <row r="40" spans="1:8">
      <c r="A40" s="131" t="s">
        <v>51</v>
      </c>
      <c r="E40" s="141"/>
      <c r="F40" s="286"/>
      <c r="G40" s="287"/>
      <c r="H40" s="287"/>
    </row>
    <row r="41" spans="1:8">
      <c r="A41" s="104"/>
      <c r="B41" s="142"/>
    </row>
    <row r="44" spans="1:8">
      <c r="A44" s="131" t="s">
        <v>8</v>
      </c>
      <c r="D44" s="131" t="s">
        <v>8</v>
      </c>
      <c r="F44" s="143" t="s">
        <v>7</v>
      </c>
      <c r="H44" s="144"/>
    </row>
    <row r="48" spans="1:8">
      <c r="A48" s="142"/>
      <c r="B48" s="142"/>
      <c r="D48" s="142"/>
      <c r="F48" s="142"/>
      <c r="G48" s="142"/>
      <c r="H48" s="142"/>
    </row>
    <row r="49" spans="1:8" s="109" customFormat="1" ht="17.100000000000001" customHeight="1">
      <c r="A49" s="131" t="s">
        <v>2948</v>
      </c>
      <c r="B49" s="146"/>
      <c r="C49" s="146"/>
      <c r="D49" s="131" t="s">
        <v>103</v>
      </c>
      <c r="E49" s="147"/>
      <c r="F49" s="147" t="s">
        <v>3</v>
      </c>
      <c r="G49" s="147"/>
      <c r="H49" s="147"/>
    </row>
    <row r="50" spans="1:8">
      <c r="F50" s="131" t="s">
        <v>2</v>
      </c>
    </row>
    <row r="52" spans="1:8">
      <c r="F52" s="110" t="s">
        <v>1</v>
      </c>
    </row>
    <row r="53" spans="1:8">
      <c r="F53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1-000000000000}">
  <sheetPr codeName="Sheet443"/>
  <dimension ref="A1:I59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3.85546875" style="227" customWidth="1"/>
    <col min="3" max="3" width="1.42578125" style="227" customWidth="1"/>
    <col min="4" max="4" width="19.85546875" style="227" customWidth="1"/>
    <col min="5" max="5" width="0.85546875" style="227" customWidth="1"/>
    <col min="6" max="6" width="16.42578125" style="227" customWidth="1"/>
    <col min="7" max="7" width="8.140625" style="227" customWidth="1"/>
    <col min="8" max="8" width="13.28515625" style="227" customWidth="1"/>
    <col min="9" max="9" width="16.140625" style="209" customWidth="1"/>
    <col min="10" max="16384" width="9.140625" style="209"/>
  </cols>
  <sheetData>
    <row r="1" spans="1:9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9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9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9" ht="12.75" customHeight="1">
      <c r="A4" s="532" t="s">
        <v>1684</v>
      </c>
      <c r="B4" s="532"/>
      <c r="C4" s="532"/>
      <c r="D4" s="532"/>
      <c r="E4" s="532"/>
      <c r="F4" s="532"/>
      <c r="G4" s="532"/>
      <c r="H4" s="532"/>
    </row>
    <row r="5" spans="1:9" ht="12.75" customHeight="1">
      <c r="A5" s="131"/>
      <c r="B5" s="131"/>
      <c r="C5" s="131"/>
      <c r="D5" s="131"/>
      <c r="E5" s="131"/>
      <c r="F5" s="131"/>
      <c r="G5" s="131"/>
      <c r="H5" s="131"/>
    </row>
    <row r="6" spans="1:9" ht="12.75" customHeight="1">
      <c r="A6" s="131"/>
      <c r="B6" s="131"/>
      <c r="C6" s="131"/>
      <c r="D6" s="131"/>
      <c r="E6" s="131"/>
      <c r="F6" s="131"/>
      <c r="G6" s="131"/>
      <c r="H6" s="131"/>
    </row>
    <row r="7" spans="1:9" ht="12.75" customHeight="1">
      <c r="A7" s="131"/>
      <c r="B7" s="131"/>
      <c r="C7" s="131"/>
      <c r="D7" s="131"/>
      <c r="E7" s="131"/>
      <c r="F7" s="131"/>
      <c r="G7" s="131"/>
      <c r="H7" s="131"/>
    </row>
    <row r="8" spans="1:9" s="211" customFormat="1" ht="12.75" customHeight="1">
      <c r="A8" s="147" t="s">
        <v>24</v>
      </c>
      <c r="B8" s="147"/>
      <c r="C8" s="147"/>
      <c r="D8" s="147"/>
      <c r="E8" s="147"/>
      <c r="F8" s="210" t="s">
        <v>23</v>
      </c>
      <c r="G8" s="147"/>
      <c r="H8" s="147"/>
    </row>
    <row r="9" spans="1:9" s="211" customFormat="1" ht="12.75" customHeight="1">
      <c r="A9" s="147"/>
      <c r="B9" s="147"/>
      <c r="C9" s="147"/>
      <c r="D9" s="147"/>
      <c r="E9" s="147"/>
      <c r="F9" s="212" t="s">
        <v>1723</v>
      </c>
      <c r="G9" s="111" t="s">
        <v>4582</v>
      </c>
      <c r="H9" s="131"/>
    </row>
    <row r="10" spans="1:9" s="211" customFormat="1" ht="12.75" customHeight="1">
      <c r="A10" s="147" t="s">
        <v>4055</v>
      </c>
      <c r="B10" s="147"/>
      <c r="C10" s="147"/>
      <c r="D10" s="147"/>
      <c r="E10" s="147"/>
      <c r="F10" s="212" t="s">
        <v>1340</v>
      </c>
      <c r="G10" s="112" t="s">
        <v>4572</v>
      </c>
      <c r="H10" s="131"/>
    </row>
    <row r="11" spans="1:9" s="211" customFormat="1" ht="12.75" customHeight="1">
      <c r="A11" s="147" t="s">
        <v>4056</v>
      </c>
      <c r="B11" s="147"/>
      <c r="C11" s="147"/>
      <c r="D11" s="147"/>
      <c r="E11" s="147"/>
      <c r="F11" s="212" t="s">
        <v>1341</v>
      </c>
      <c r="G11" s="112" t="s">
        <v>1094</v>
      </c>
      <c r="H11" s="131"/>
    </row>
    <row r="12" spans="1:9" s="211" customFormat="1" ht="12.75" customHeight="1">
      <c r="A12" s="147" t="s">
        <v>4057</v>
      </c>
      <c r="B12" s="147"/>
      <c r="C12" s="147"/>
      <c r="D12" s="147"/>
      <c r="E12" s="147"/>
      <c r="F12" s="212" t="s">
        <v>2136</v>
      </c>
      <c r="G12" s="112" t="s">
        <v>4583</v>
      </c>
      <c r="H12" s="131"/>
    </row>
    <row r="13" spans="1:9" s="211" customFormat="1" ht="12.75" customHeight="1">
      <c r="A13" s="147" t="s">
        <v>2424</v>
      </c>
      <c r="B13" s="147"/>
      <c r="C13" s="147"/>
      <c r="D13" s="147"/>
      <c r="E13" s="147"/>
      <c r="F13" s="147"/>
      <c r="G13" s="131"/>
      <c r="H13" s="147"/>
    </row>
    <row r="14" spans="1:9" s="211" customFormat="1" ht="12.75" customHeight="1">
      <c r="A14" s="147"/>
      <c r="B14" s="147"/>
      <c r="C14" s="147"/>
      <c r="D14" s="147"/>
      <c r="E14" s="147"/>
      <c r="F14" s="147"/>
      <c r="G14" s="147"/>
      <c r="H14" s="147"/>
    </row>
    <row r="15" spans="1:9" s="213" customFormat="1" ht="12.75" customHeight="1">
      <c r="A15" s="147"/>
      <c r="B15" s="147"/>
      <c r="C15" s="147"/>
      <c r="D15" s="147"/>
      <c r="E15" s="147"/>
      <c r="F15" s="147"/>
      <c r="G15" s="147"/>
      <c r="H15" s="147"/>
    </row>
    <row r="16" spans="1:9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I16" s="214"/>
    </row>
    <row r="17" spans="1:9" s="213" customFormat="1" ht="12.75" customHeight="1">
      <c r="A17" s="215"/>
      <c r="B17" s="216"/>
      <c r="C17" s="216"/>
      <c r="D17" s="217"/>
      <c r="E17" s="217"/>
      <c r="F17" s="216"/>
      <c r="G17" s="218"/>
      <c r="H17" s="219"/>
      <c r="I17" s="214"/>
    </row>
    <row r="18" spans="1:9" s="213" customFormat="1" ht="12.75" customHeight="1">
      <c r="D18" s="319" t="s">
        <v>3096</v>
      </c>
      <c r="I18" s="318"/>
    </row>
    <row r="19" spans="1:9" s="213" customFormat="1" ht="12.75" customHeight="1">
      <c r="A19" s="222"/>
      <c r="B19" s="281"/>
      <c r="C19" s="281"/>
      <c r="D19" s="145"/>
      <c r="E19" s="147"/>
      <c r="F19" s="145"/>
      <c r="G19" s="145"/>
      <c r="H19" s="320"/>
      <c r="I19" s="318"/>
    </row>
    <row r="20" spans="1:9" s="213" customFormat="1" ht="12.75" customHeight="1">
      <c r="A20" s="222" t="s">
        <v>4584</v>
      </c>
      <c r="B20" s="281" t="s">
        <v>4585</v>
      </c>
      <c r="C20" s="281"/>
      <c r="D20" s="145" t="s">
        <v>4586</v>
      </c>
      <c r="E20" s="145"/>
      <c r="F20" s="147"/>
      <c r="G20" s="147"/>
      <c r="H20" s="322">
        <v>15000</v>
      </c>
      <c r="I20" s="318"/>
    </row>
    <row r="21" spans="1:9" s="213" customFormat="1" ht="12.75" customHeight="1">
      <c r="A21" s="222"/>
      <c r="B21" s="281"/>
      <c r="C21" s="281"/>
      <c r="D21" s="212" t="s">
        <v>4587</v>
      </c>
      <c r="E21" s="145"/>
      <c r="F21" s="147"/>
      <c r="G21" s="147"/>
      <c r="H21" s="322"/>
      <c r="I21" s="318"/>
    </row>
    <row r="22" spans="1:9" s="213" customFormat="1" ht="12.75" customHeight="1">
      <c r="C22" s="281"/>
      <c r="D22" s="145"/>
      <c r="E22" s="145"/>
      <c r="F22" s="147"/>
      <c r="G22" s="147"/>
      <c r="H22" s="322"/>
      <c r="I22" s="318"/>
    </row>
    <row r="23" spans="1:9" s="213" customFormat="1" ht="12.75" customHeight="1">
      <c r="A23" s="222"/>
      <c r="B23" s="281"/>
      <c r="C23" s="281"/>
      <c r="D23" s="147"/>
      <c r="E23" s="147"/>
      <c r="F23" s="224"/>
      <c r="G23" s="224"/>
      <c r="H23" s="322"/>
      <c r="I23" s="224"/>
    </row>
    <row r="24" spans="1:9" s="224" customFormat="1" ht="12.75" customHeight="1">
      <c r="A24" s="222"/>
      <c r="B24" s="281"/>
      <c r="C24" s="281"/>
      <c r="D24" s="147"/>
      <c r="E24" s="147"/>
      <c r="H24" s="322"/>
    </row>
    <row r="25" spans="1:9" s="224" customFormat="1" ht="12.75" customHeight="1">
      <c r="A25" s="222"/>
      <c r="B25" s="281"/>
      <c r="C25" s="281"/>
      <c r="D25" s="147"/>
      <c r="E25" s="147"/>
      <c r="H25" s="322"/>
    </row>
    <row r="26" spans="1:9" s="224" customFormat="1" ht="12.75" customHeight="1">
      <c r="A26" s="222"/>
      <c r="B26" s="281"/>
      <c r="C26" s="281"/>
      <c r="D26" s="147"/>
      <c r="E26" s="147"/>
      <c r="H26" s="322"/>
    </row>
    <row r="27" spans="1:9" s="224" customFormat="1" ht="12.75" customHeight="1">
      <c r="A27" s="222"/>
      <c r="B27" s="281"/>
      <c r="C27" s="281"/>
      <c r="D27" s="147"/>
      <c r="E27" s="147"/>
      <c r="H27" s="322"/>
    </row>
    <row r="28" spans="1:9" s="224" customFormat="1" ht="12.75" customHeight="1">
      <c r="A28" s="222"/>
      <c r="B28" s="281"/>
      <c r="C28" s="281"/>
      <c r="D28" s="147"/>
      <c r="E28" s="147"/>
      <c r="H28" s="322"/>
    </row>
    <row r="29" spans="1:9" s="224" customFormat="1" ht="12.75" customHeight="1">
      <c r="A29" s="222"/>
      <c r="B29" s="281"/>
      <c r="C29" s="281"/>
      <c r="D29" s="147"/>
      <c r="E29" s="147"/>
      <c r="H29" s="322"/>
    </row>
    <row r="30" spans="1:9" s="224" customFormat="1" ht="12.75" customHeight="1">
      <c r="A30" s="222"/>
      <c r="B30" s="281"/>
      <c r="C30" s="281"/>
      <c r="D30" s="147"/>
      <c r="E30" s="147"/>
      <c r="H30" s="322"/>
    </row>
    <row r="31" spans="1:9" s="227" customFormat="1" ht="12.75" customHeight="1">
      <c r="A31" s="222"/>
      <c r="B31" s="281"/>
      <c r="C31" s="281"/>
      <c r="D31" s="147"/>
      <c r="E31" s="147"/>
      <c r="F31" s="224"/>
      <c r="G31" s="224"/>
      <c r="H31" s="322"/>
    </row>
    <row r="32" spans="1:9" s="211" customFormat="1" ht="12.75" customHeight="1">
      <c r="A32" s="222"/>
      <c r="B32" s="281"/>
      <c r="C32" s="281"/>
      <c r="D32" s="147"/>
      <c r="E32" s="147"/>
      <c r="F32" s="147"/>
      <c r="G32" s="147"/>
      <c r="H32" s="147"/>
      <c r="I32" s="221"/>
    </row>
    <row r="33" spans="1:9" s="211" customFormat="1" ht="12.75" customHeight="1">
      <c r="A33" s="222"/>
      <c r="B33" s="281"/>
      <c r="C33" s="281"/>
      <c r="D33" s="147"/>
      <c r="E33" s="147"/>
      <c r="F33" s="147"/>
      <c r="G33" s="147"/>
      <c r="H33" s="147"/>
      <c r="I33" s="221"/>
    </row>
    <row r="34" spans="1:9" s="211" customFormat="1" ht="15.75" customHeight="1" thickBot="1">
      <c r="A34" s="229"/>
      <c r="B34" s="224"/>
      <c r="C34" s="224"/>
      <c r="D34" s="224"/>
      <c r="E34" s="224"/>
      <c r="F34" s="224"/>
      <c r="G34" s="224"/>
      <c r="H34" s="230">
        <f>SUM(H19:H31)</f>
        <v>15000</v>
      </c>
      <c r="I34" s="221"/>
    </row>
    <row r="35" spans="1:9" s="211" customFormat="1" ht="12.75" customHeight="1" thickTop="1">
      <c r="A35" s="229"/>
      <c r="B35" s="224"/>
      <c r="C35" s="224"/>
      <c r="D35" s="224"/>
      <c r="E35" s="224"/>
      <c r="F35" s="224"/>
      <c r="G35" s="224"/>
      <c r="H35" s="224"/>
      <c r="I35" s="221"/>
    </row>
    <row r="36" spans="1:9" ht="20.100000000000001" customHeight="1">
      <c r="A36" s="138" t="s">
        <v>1133</v>
      </c>
      <c r="B36" s="204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Fifteen Thousand and NO/100 -----------</v>
      </c>
      <c r="C36" s="204"/>
      <c r="D36" s="231"/>
      <c r="E36" s="231"/>
      <c r="F36" s="231"/>
      <c r="G36" s="231"/>
      <c r="H36" s="231"/>
    </row>
    <row r="37" spans="1:9" ht="12.75" customHeight="1">
      <c r="A37" s="232"/>
    </row>
    <row r="38" spans="1:9" ht="27" customHeight="1">
      <c r="A38" s="131" t="s">
        <v>10</v>
      </c>
      <c r="B38" s="131"/>
      <c r="C38" s="131"/>
      <c r="D38" s="131"/>
      <c r="E38" s="131"/>
      <c r="F38" s="283" t="s">
        <v>2894</v>
      </c>
      <c r="G38" s="284"/>
      <c r="H38" s="285"/>
    </row>
    <row r="39" spans="1:9" ht="12.75" customHeight="1">
      <c r="A39" s="131"/>
      <c r="B39" s="131"/>
      <c r="C39" s="131"/>
      <c r="D39" s="131"/>
      <c r="E39" s="131"/>
      <c r="F39" s="131"/>
      <c r="G39" s="131"/>
      <c r="H39" s="131"/>
    </row>
    <row r="40" spans="1:9" ht="12.75" customHeight="1">
      <c r="A40" s="131"/>
      <c r="B40" s="131"/>
      <c r="C40" s="131"/>
      <c r="D40" s="131"/>
      <c r="E40" s="131"/>
      <c r="F40" s="131"/>
      <c r="G40" s="131"/>
      <c r="H40" s="131"/>
    </row>
    <row r="41" spans="1:9">
      <c r="A41" s="301"/>
      <c r="B41" s="131"/>
      <c r="C41" s="131"/>
      <c r="D41" s="131"/>
      <c r="E41" s="131"/>
      <c r="F41" s="291"/>
      <c r="G41" s="291"/>
      <c r="H41" s="291"/>
    </row>
    <row r="42" spans="1:9">
      <c r="A42" s="248"/>
      <c r="B42" s="142"/>
      <c r="C42" s="131"/>
      <c r="D42" s="131"/>
      <c r="E42" s="131"/>
      <c r="F42" s="286"/>
      <c r="G42" s="287"/>
      <c r="H42" s="287"/>
    </row>
    <row r="43" spans="1:9" ht="12.75" customHeight="1">
      <c r="A43" s="301"/>
      <c r="B43" s="301"/>
      <c r="C43" s="301"/>
      <c r="D43" s="131"/>
      <c r="E43" s="131"/>
      <c r="F43" s="131"/>
      <c r="G43" s="131"/>
      <c r="H43" s="144"/>
    </row>
    <row r="44" spans="1:9" ht="12.75" customHeight="1">
      <c r="A44" s="301"/>
      <c r="B44" s="301"/>
      <c r="C44" s="301"/>
      <c r="D44" s="301"/>
      <c r="E44" s="131"/>
      <c r="F44" s="131"/>
      <c r="G44" s="131"/>
      <c r="H44" s="144"/>
    </row>
    <row r="45" spans="1:9" ht="12.75" customHeight="1">
      <c r="A45" s="143" t="s">
        <v>8</v>
      </c>
      <c r="B45" s="131"/>
      <c r="C45" s="131"/>
      <c r="D45" s="143" t="s">
        <v>8</v>
      </c>
      <c r="E45" s="131"/>
      <c r="F45" s="131"/>
      <c r="G45" s="131"/>
      <c r="H45" s="131"/>
    </row>
    <row r="46" spans="1:9" ht="12.75" customHeight="1">
      <c r="A46" s="301"/>
      <c r="B46" s="131"/>
      <c r="C46" s="131"/>
      <c r="D46" s="301"/>
      <c r="E46" s="131"/>
      <c r="F46" s="143" t="s">
        <v>7</v>
      </c>
      <c r="G46" s="131"/>
      <c r="H46" s="131"/>
    </row>
    <row r="47" spans="1:9" ht="12.75" customHeight="1">
      <c r="A47" s="143"/>
      <c r="B47" s="131"/>
      <c r="C47" s="131"/>
      <c r="D47" s="143"/>
      <c r="E47" s="131"/>
      <c r="F47" s="131"/>
      <c r="G47" s="131"/>
      <c r="H47" s="131"/>
    </row>
    <row r="48" spans="1:9" ht="12.75" customHeight="1">
      <c r="A48" s="143"/>
      <c r="B48" s="131"/>
      <c r="C48" s="131"/>
      <c r="D48" s="143"/>
      <c r="E48" s="131"/>
      <c r="F48" s="131"/>
      <c r="G48" s="131"/>
      <c r="H48" s="131"/>
    </row>
    <row r="49" spans="1:8" s="211" customFormat="1" ht="12.75" customHeight="1">
      <c r="A49" s="143"/>
      <c r="B49" s="131"/>
      <c r="C49" s="131"/>
      <c r="D49" s="143"/>
      <c r="E49" s="131"/>
      <c r="F49" s="131"/>
      <c r="G49" s="147"/>
      <c r="H49" s="147"/>
    </row>
    <row r="50" spans="1:8" ht="12.75" customHeight="1">
      <c r="A50" s="248"/>
      <c r="B50" s="142"/>
      <c r="C50" s="131"/>
      <c r="D50" s="248"/>
      <c r="E50" s="131"/>
      <c r="F50" s="142"/>
      <c r="G50" s="142"/>
      <c r="H50" s="142"/>
    </row>
    <row r="51" spans="1:8" ht="15" customHeight="1">
      <c r="A51" s="143" t="s">
        <v>2948</v>
      </c>
      <c r="B51" s="146"/>
      <c r="C51" s="146"/>
      <c r="D51" s="143" t="s">
        <v>103</v>
      </c>
      <c r="E51" s="147"/>
      <c r="F51" s="147" t="s">
        <v>3</v>
      </c>
      <c r="G51" s="131"/>
      <c r="H51" s="131"/>
    </row>
    <row r="52" spans="1:8" ht="12.75" customHeight="1">
      <c r="A52" s="143"/>
      <c r="B52" s="131"/>
      <c r="C52" s="131"/>
      <c r="D52" s="131"/>
      <c r="E52" s="131"/>
      <c r="F52" s="131" t="s">
        <v>2</v>
      </c>
      <c r="G52" s="131"/>
      <c r="H52" s="131"/>
    </row>
    <row r="53" spans="1:8" ht="12.75" customHeight="1">
      <c r="A53" s="131"/>
      <c r="B53" s="131"/>
      <c r="C53" s="131"/>
      <c r="D53" s="131"/>
      <c r="E53" s="131"/>
      <c r="F53" s="131"/>
      <c r="G53" s="131"/>
      <c r="H53" s="131"/>
    </row>
    <row r="54" spans="1:8" ht="12.75" customHeight="1">
      <c r="A54" s="131"/>
      <c r="B54" s="131"/>
      <c r="C54" s="131"/>
      <c r="D54" s="131"/>
      <c r="E54" s="131"/>
      <c r="F54" s="110" t="s">
        <v>1</v>
      </c>
      <c r="G54" s="131"/>
      <c r="H54" s="131"/>
    </row>
    <row r="55" spans="1:8" ht="12.75" customHeight="1">
      <c r="A55" s="131"/>
      <c r="B55" s="131"/>
      <c r="C55" s="131"/>
      <c r="D55" s="131"/>
      <c r="E55" s="131"/>
      <c r="F55" s="110" t="s">
        <v>0</v>
      </c>
      <c r="G55" s="131"/>
      <c r="H55" s="131"/>
    </row>
    <row r="56" spans="1:8" ht="12.75" customHeight="1">
      <c r="A56" s="131"/>
      <c r="B56" s="131"/>
      <c r="C56" s="131"/>
      <c r="D56" s="131"/>
      <c r="E56" s="131"/>
      <c r="F56" s="131"/>
      <c r="G56" s="131"/>
      <c r="H56" s="131"/>
    </row>
    <row r="57" spans="1:8" ht="12.75" customHeight="1">
      <c r="A57" s="131"/>
      <c r="B57" s="131"/>
      <c r="C57" s="131"/>
      <c r="D57" s="131"/>
      <c r="E57" s="131"/>
      <c r="F57" s="131"/>
      <c r="G57" s="131"/>
      <c r="H57" s="131"/>
    </row>
    <row r="58" spans="1:8">
      <c r="A58" s="131"/>
      <c r="B58" s="131"/>
      <c r="C58" s="131"/>
      <c r="D58" s="131"/>
      <c r="E58" s="131"/>
      <c r="F58" s="131"/>
      <c r="G58" s="131"/>
      <c r="H58" s="131"/>
    </row>
    <row r="59" spans="1:8">
      <c r="A59" s="131"/>
      <c r="B59" s="131"/>
      <c r="C59" s="131"/>
      <c r="D59" s="131"/>
      <c r="E59" s="131"/>
      <c r="F59" s="131"/>
      <c r="G59" s="131"/>
      <c r="H59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89" orientation="portrait" r:id="rId1"/>
  <headerFooter alignWithMargins="0"/>
</worksheet>
</file>

<file path=xl/worksheets/sheet3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1-000000000000}">
  <sheetPr codeName="Sheet348">
    <pageSetUpPr fitToPage="1"/>
  </sheetPr>
  <dimension ref="A1:H53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1.42578125" style="111" customWidth="1"/>
    <col min="4" max="4" width="23" style="111" customWidth="1"/>
    <col min="5" max="5" width="1.28515625" style="111" customWidth="1"/>
    <col min="6" max="6" width="13.42578125" style="111" customWidth="1"/>
    <col min="7" max="7" width="9.5703125" style="111" customWidth="1"/>
    <col min="8" max="8" width="15.28515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11" t="s">
        <v>6420</v>
      </c>
    </row>
    <row r="10" spans="1:8">
      <c r="A10" s="111" t="s">
        <v>2637</v>
      </c>
      <c r="F10" s="112" t="s">
        <v>1162</v>
      </c>
      <c r="G10" s="111" t="s">
        <v>6419</v>
      </c>
    </row>
    <row r="11" spans="1:8">
      <c r="A11" s="111" t="s">
        <v>2638</v>
      </c>
      <c r="F11" s="112" t="s">
        <v>1163</v>
      </c>
      <c r="G11" s="111" t="s">
        <v>1094</v>
      </c>
    </row>
    <row r="12" spans="1:8">
      <c r="A12" s="111" t="s">
        <v>2639</v>
      </c>
      <c r="F12" s="112" t="s">
        <v>1135</v>
      </c>
      <c r="G12" s="486" t="s">
        <v>6421</v>
      </c>
    </row>
    <row r="13" spans="1:8">
      <c r="A13" s="111" t="s">
        <v>2640</v>
      </c>
      <c r="G13" s="131"/>
    </row>
    <row r="14" spans="1:8">
      <c r="A14" s="111" t="s">
        <v>2641</v>
      </c>
    </row>
    <row r="16" spans="1:8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6411</v>
      </c>
      <c r="E18" s="2"/>
    </row>
    <row r="19" spans="1:8">
      <c r="A19" s="161"/>
      <c r="B19" s="116"/>
      <c r="C19" s="116"/>
    </row>
    <row r="20" spans="1:8">
      <c r="A20" s="485" t="s">
        <v>6238</v>
      </c>
      <c r="B20" s="485" t="s">
        <v>6422</v>
      </c>
      <c r="C20" s="116"/>
      <c r="D20" s="111" t="s">
        <v>6423</v>
      </c>
      <c r="H20" s="111">
        <v>24395</v>
      </c>
    </row>
    <row r="21" spans="1:8">
      <c r="D21" s="120" t="s">
        <v>5124</v>
      </c>
      <c r="E21" s="120"/>
      <c r="H21" s="111">
        <f>H20*6%</f>
        <v>1463.7</v>
      </c>
    </row>
    <row r="22" spans="1:8">
      <c r="D22" s="111" t="s">
        <v>4489</v>
      </c>
    </row>
    <row r="24" spans="1:8">
      <c r="A24" s="116"/>
      <c r="B24" s="116"/>
      <c r="C24" s="116"/>
    </row>
    <row r="29" spans="1:8">
      <c r="H29" s="2"/>
    </row>
    <row r="30" spans="1:8">
      <c r="H30" s="2"/>
    </row>
    <row r="31" spans="1:8">
      <c r="B31" s="120"/>
      <c r="C31" s="120"/>
    </row>
    <row r="32" spans="1:8">
      <c r="B32" s="120"/>
      <c r="C32" s="120"/>
    </row>
    <row r="34" spans="1:8" ht="13.5" thickBot="1">
      <c r="H34" s="127">
        <f>SUM(H20:H33)</f>
        <v>25858.7</v>
      </c>
    </row>
    <row r="35" spans="1:8" ht="13.5" thickTop="1"/>
    <row r="36" spans="1:8" ht="20.100000000000001" customHeight="1">
      <c r="A36" s="118" t="s">
        <v>1133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Twenty-Five Thousand Eight Hundred Fifty-Eight and 70/100 -----------</v>
      </c>
      <c r="C36" s="202"/>
      <c r="D36" s="119"/>
      <c r="E36" s="119"/>
      <c r="F36" s="119"/>
      <c r="G36" s="119"/>
      <c r="H36" s="261"/>
    </row>
    <row r="37" spans="1:8">
      <c r="A37" s="120"/>
    </row>
    <row r="38" spans="1:8" ht="25.5">
      <c r="A38" s="123" t="s">
        <v>10</v>
      </c>
      <c r="F38" s="265" t="s">
        <v>2894</v>
      </c>
      <c r="G38" s="266"/>
      <c r="H38" s="267"/>
    </row>
    <row r="39" spans="1:8">
      <c r="A39" s="126"/>
      <c r="F39" s="279"/>
      <c r="G39" s="280"/>
      <c r="H39" s="280"/>
    </row>
    <row r="40" spans="1:8">
      <c r="A40" s="123"/>
    </row>
    <row r="41" spans="1:8">
      <c r="A41" s="123"/>
      <c r="D41" s="121"/>
      <c r="E41" s="121"/>
    </row>
    <row r="42" spans="1:8">
      <c r="A42" s="150"/>
      <c r="B42" s="122"/>
    </row>
    <row r="44" spans="1:8">
      <c r="A44" s="123" t="s">
        <v>8</v>
      </c>
      <c r="D44" s="123" t="s">
        <v>8</v>
      </c>
      <c r="F44" s="123" t="s">
        <v>7</v>
      </c>
      <c r="H44" s="124"/>
    </row>
    <row r="45" spans="1:8">
      <c r="A45" s="123"/>
      <c r="D45" s="123"/>
    </row>
    <row r="46" spans="1:8">
      <c r="A46" s="123"/>
      <c r="D46" s="123"/>
    </row>
    <row r="47" spans="1:8">
      <c r="A47" s="123"/>
      <c r="D47" s="123"/>
    </row>
    <row r="48" spans="1:8">
      <c r="A48" s="150"/>
      <c r="B48" s="122"/>
      <c r="D48" s="150"/>
      <c r="F48" s="122"/>
      <c r="G48" s="122"/>
      <c r="H48" s="122"/>
    </row>
    <row r="49" spans="1:6" s="126" customFormat="1" ht="17.100000000000001" customHeight="1">
      <c r="A49" s="151" t="s">
        <v>2948</v>
      </c>
      <c r="B49" s="125"/>
      <c r="C49" s="125"/>
      <c r="D49" s="151" t="s">
        <v>103</v>
      </c>
      <c r="F49" s="126" t="s">
        <v>3</v>
      </c>
    </row>
    <row r="50" spans="1:6">
      <c r="A50" s="151"/>
      <c r="F50" s="111" t="s">
        <v>2</v>
      </c>
    </row>
    <row r="51" spans="1:6">
      <c r="A51" s="123"/>
    </row>
    <row r="52" spans="1:6">
      <c r="F52" s="2" t="s">
        <v>1</v>
      </c>
    </row>
    <row r="53" spans="1:6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1-000000000000}">
  <sheetPr codeName="Sheet444">
    <pageSetUpPr fitToPage="1"/>
  </sheetPr>
  <dimension ref="A1:I54"/>
  <sheetViews>
    <sheetView topLeftCell="A7" workbookViewId="0">
      <selection activeCell="G9" sqref="G9:G13"/>
    </sheetView>
  </sheetViews>
  <sheetFormatPr defaultRowHeight="12.75"/>
  <cols>
    <col min="1" max="1" width="15.7109375" style="131" customWidth="1"/>
    <col min="2" max="2" width="14.140625" style="131" customWidth="1"/>
    <col min="3" max="3" width="1.28515625" style="131" customWidth="1"/>
    <col min="4" max="4" width="21" style="131" customWidth="1"/>
    <col min="5" max="5" width="1.140625" style="131" customWidth="1"/>
    <col min="6" max="6" width="16.42578125" style="131" customWidth="1"/>
    <col min="7" max="7" width="8.7109375" style="131" customWidth="1"/>
    <col min="8" max="8" width="13.28515625" style="131" customWidth="1"/>
    <col min="9" max="16384" width="9.140625" style="86"/>
  </cols>
  <sheetData>
    <row r="1" spans="1:9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9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9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9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9">
      <c r="A8" s="131" t="s">
        <v>24</v>
      </c>
      <c r="F8" s="87" t="s">
        <v>23</v>
      </c>
    </row>
    <row r="9" spans="1:9">
      <c r="F9" s="132" t="s">
        <v>3349</v>
      </c>
      <c r="G9" s="111" t="s">
        <v>4400</v>
      </c>
      <c r="I9" s="147"/>
    </row>
    <row r="10" spans="1:9">
      <c r="A10" s="131" t="s">
        <v>3798</v>
      </c>
      <c r="F10" s="132" t="s">
        <v>1340</v>
      </c>
      <c r="G10" s="112" t="s">
        <v>4401</v>
      </c>
      <c r="I10" s="212"/>
    </row>
    <row r="11" spans="1:9">
      <c r="A11" s="131" t="s">
        <v>3799</v>
      </c>
      <c r="F11" s="132" t="s">
        <v>3350</v>
      </c>
      <c r="G11" s="112" t="s">
        <v>1094</v>
      </c>
      <c r="I11" s="212"/>
    </row>
    <row r="12" spans="1:9">
      <c r="A12" s="131" t="s">
        <v>3800</v>
      </c>
      <c r="F12" s="132" t="s">
        <v>1188</v>
      </c>
      <c r="G12" s="120" t="s">
        <v>1270</v>
      </c>
      <c r="I12" s="212"/>
    </row>
    <row r="16" spans="1:9" s="95" customFormat="1" ht="20.100000000000001" customHeight="1">
      <c r="A16" s="90" t="s">
        <v>1122</v>
      </c>
      <c r="B16" s="90" t="s">
        <v>1132</v>
      </c>
      <c r="C16" s="90"/>
      <c r="D16" s="92" t="s">
        <v>14</v>
      </c>
      <c r="E16" s="92"/>
      <c r="F16" s="90"/>
      <c r="G16" s="93"/>
      <c r="H16" s="94" t="s">
        <v>13</v>
      </c>
    </row>
    <row r="18" spans="1:8">
      <c r="A18" s="158"/>
      <c r="B18" s="165"/>
      <c r="C18" s="165"/>
      <c r="D18" s="110" t="s">
        <v>3801</v>
      </c>
      <c r="E18" s="110"/>
    </row>
    <row r="19" spans="1:8">
      <c r="A19" s="158"/>
      <c r="B19" s="165"/>
      <c r="C19" s="165"/>
      <c r="D19" s="110"/>
      <c r="E19" s="110"/>
    </row>
    <row r="20" spans="1:8">
      <c r="A20" s="158" t="s">
        <v>4402</v>
      </c>
      <c r="B20" s="165" t="s">
        <v>4403</v>
      </c>
      <c r="C20" s="165"/>
      <c r="D20" s="131" t="s">
        <v>4404</v>
      </c>
      <c r="H20" s="131">
        <f>3600*4.338</f>
        <v>15616.800000000001</v>
      </c>
    </row>
    <row r="21" spans="1:8">
      <c r="A21" s="158"/>
      <c r="B21" s="165"/>
      <c r="C21" s="165"/>
    </row>
    <row r="22" spans="1:8">
      <c r="D22" s="131" t="s">
        <v>4405</v>
      </c>
    </row>
    <row r="24" spans="1:8">
      <c r="A24" s="158"/>
      <c r="B24" s="163"/>
      <c r="C24" s="163"/>
      <c r="D24" s="131" t="s">
        <v>2831</v>
      </c>
      <c r="H24" s="131">
        <v>30</v>
      </c>
    </row>
    <row r="25" spans="1:8">
      <c r="A25" s="158"/>
      <c r="B25" s="158"/>
      <c r="C25" s="158"/>
      <c r="D25" s="110"/>
      <c r="E25" s="110"/>
      <c r="H25" s="149"/>
    </row>
    <row r="26" spans="1:8">
      <c r="A26" s="165"/>
      <c r="B26" s="158"/>
      <c r="C26" s="158"/>
      <c r="D26" s="131" t="s">
        <v>1814</v>
      </c>
      <c r="H26" s="131">
        <f>H24*6%</f>
        <v>1.7999999999999998</v>
      </c>
    </row>
    <row r="27" spans="1:8">
      <c r="A27" s="165"/>
      <c r="B27" s="141"/>
      <c r="C27" s="141"/>
    </row>
    <row r="28" spans="1:8">
      <c r="A28" s="158"/>
      <c r="B28" s="141"/>
      <c r="C28" s="141"/>
    </row>
    <row r="29" spans="1:8">
      <c r="A29" s="165"/>
      <c r="B29" s="158"/>
      <c r="C29" s="158"/>
    </row>
    <row r="30" spans="1:8">
      <c r="A30" s="165"/>
      <c r="B30" s="158"/>
      <c r="C30" s="158"/>
    </row>
    <row r="31" spans="1:8">
      <c r="A31" s="165"/>
      <c r="B31" s="158"/>
      <c r="C31" s="158"/>
    </row>
    <row r="32" spans="1:8">
      <c r="A32" s="163"/>
      <c r="B32" s="141"/>
      <c r="C32" s="141"/>
    </row>
    <row r="35" spans="1:8" ht="13.5" thickBot="1">
      <c r="H35" s="164">
        <f>SUM(H19:H34)</f>
        <v>15648.6</v>
      </c>
    </row>
    <row r="36" spans="1:8" ht="13.5" thickTop="1"/>
    <row r="37" spans="1:8" ht="20.100000000000001" customHeight="1">
      <c r="A37" s="13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Fifteen Thousand Six Hundred Forty-Eight and 60/100 -----------</v>
      </c>
      <c r="C37" s="204"/>
      <c r="D37" s="139"/>
      <c r="E37" s="282"/>
      <c r="F37" s="282"/>
      <c r="G37" s="282"/>
      <c r="H37" s="282"/>
    </row>
    <row r="38" spans="1:8" ht="20.100000000000001" customHeight="1">
      <c r="A38" s="212"/>
      <c r="B38" s="145"/>
      <c r="C38" s="145"/>
      <c r="D38" s="147"/>
      <c r="E38" s="147"/>
      <c r="F38" s="282"/>
      <c r="G38" s="282"/>
      <c r="H38" s="282"/>
    </row>
    <row r="39" spans="1:8" ht="25.5">
      <c r="A39" s="140" t="s">
        <v>3060</v>
      </c>
      <c r="F39" s="283" t="s">
        <v>2894</v>
      </c>
      <c r="G39" s="284"/>
      <c r="H39" s="285"/>
    </row>
    <row r="40" spans="1:8">
      <c r="F40" s="286"/>
      <c r="G40" s="287"/>
      <c r="H40" s="287"/>
    </row>
    <row r="41" spans="1:8">
      <c r="A41" s="86"/>
      <c r="D41" s="141"/>
      <c r="E41" s="141"/>
    </row>
    <row r="42" spans="1:8">
      <c r="A42" s="131" t="s">
        <v>52</v>
      </c>
      <c r="D42" s="141"/>
      <c r="E42" s="141"/>
    </row>
    <row r="43" spans="1:8">
      <c r="A43" s="142"/>
      <c r="B43" s="142"/>
    </row>
    <row r="45" spans="1:8">
      <c r="A45" s="143" t="s">
        <v>8</v>
      </c>
      <c r="D45" s="111" t="s">
        <v>8</v>
      </c>
      <c r="F45" s="143" t="s">
        <v>7</v>
      </c>
      <c r="H45" s="144"/>
    </row>
    <row r="46" spans="1:8">
      <c r="D46" s="123"/>
    </row>
    <row r="47" spans="1:8">
      <c r="D47" s="123"/>
    </row>
    <row r="48" spans="1:8">
      <c r="D48" s="123"/>
    </row>
    <row r="49" spans="1:8">
      <c r="A49" s="142"/>
      <c r="B49" s="142"/>
      <c r="D49" s="150"/>
      <c r="F49" s="142"/>
      <c r="G49" s="142"/>
      <c r="H49" s="142"/>
    </row>
    <row r="50" spans="1:8" s="109" customFormat="1" ht="17.100000000000001" customHeight="1">
      <c r="A50" s="145" t="s">
        <v>2948</v>
      </c>
      <c r="B50" s="146"/>
      <c r="C50" s="146"/>
      <c r="D50" s="151" t="s">
        <v>103</v>
      </c>
      <c r="E50" s="147"/>
      <c r="F50" s="147" t="s">
        <v>3</v>
      </c>
      <c r="G50" s="147"/>
      <c r="H50" s="147"/>
    </row>
    <row r="51" spans="1:8">
      <c r="D51" s="111"/>
      <c r="F51" s="131" t="s">
        <v>2</v>
      </c>
    </row>
    <row r="53" spans="1:8">
      <c r="F53" s="110" t="s">
        <v>1</v>
      </c>
    </row>
    <row r="54" spans="1:8">
      <c r="F54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3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1-000000000000}">
  <sheetPr codeName="Sheet415">
    <pageSetUpPr fitToPage="1"/>
  </sheetPr>
  <dimension ref="A1:I52"/>
  <sheetViews>
    <sheetView workbookViewId="0">
      <selection activeCell="G9" sqref="G9:G13"/>
    </sheetView>
  </sheetViews>
  <sheetFormatPr defaultRowHeight="12.75"/>
  <cols>
    <col min="1" max="1" width="15.7109375" style="111" customWidth="1"/>
    <col min="2" max="2" width="13.85546875" style="111" customWidth="1"/>
    <col min="3" max="3" width="23" style="111" customWidth="1"/>
    <col min="4" max="4" width="12.7109375" style="111" customWidth="1"/>
    <col min="5" max="5" width="10.85546875" style="111" customWidth="1"/>
    <col min="6" max="6" width="12.855468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5513</v>
      </c>
    </row>
    <row r="10" spans="1:6">
      <c r="A10" s="111" t="s">
        <v>1909</v>
      </c>
      <c r="D10" s="112" t="s">
        <v>1162</v>
      </c>
      <c r="E10" s="123" t="s">
        <v>5512</v>
      </c>
    </row>
    <row r="11" spans="1:6">
      <c r="A11" s="111" t="s">
        <v>3730</v>
      </c>
      <c r="D11" s="112" t="s">
        <v>1163</v>
      </c>
      <c r="E11" s="112" t="s">
        <v>1094</v>
      </c>
    </row>
    <row r="12" spans="1:6">
      <c r="A12" s="111" t="s">
        <v>3731</v>
      </c>
      <c r="D12" s="112" t="s">
        <v>1169</v>
      </c>
      <c r="E12" s="120" t="s">
        <v>5514</v>
      </c>
    </row>
    <row r="13" spans="1:6">
      <c r="A13" s="111" t="s">
        <v>1257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9">
      <c r="A17" s="153"/>
    </row>
    <row r="18" spans="1:9">
      <c r="C18" s="2" t="s">
        <v>3176</v>
      </c>
    </row>
    <row r="20" spans="1:9">
      <c r="A20" s="116" t="s">
        <v>5515</v>
      </c>
      <c r="B20" s="116" t="s">
        <v>5516</v>
      </c>
      <c r="C20" s="111" t="s">
        <v>5517</v>
      </c>
      <c r="F20" s="111">
        <v>1500</v>
      </c>
      <c r="I20" s="317"/>
    </row>
    <row r="21" spans="1:9">
      <c r="A21" s="116"/>
      <c r="B21" s="116"/>
    </row>
    <row r="22" spans="1:9">
      <c r="A22" s="116"/>
      <c r="B22" s="121"/>
    </row>
    <row r="23" spans="1:9">
      <c r="A23" s="173"/>
    </row>
    <row r="24" spans="1:9">
      <c r="A24" s="116"/>
      <c r="B24" s="121"/>
    </row>
    <row r="25" spans="1:9">
      <c r="A25" s="173"/>
    </row>
    <row r="26" spans="1:9">
      <c r="A26" s="116"/>
      <c r="B26" s="121"/>
    </row>
    <row r="27" spans="1:9">
      <c r="A27" s="116"/>
      <c r="B27" s="116"/>
    </row>
    <row r="28" spans="1:9">
      <c r="A28" s="153"/>
    </row>
    <row r="29" spans="1:9">
      <c r="A29" s="153"/>
    </row>
    <row r="30" spans="1:9">
      <c r="A30" s="153"/>
    </row>
    <row r="31" spans="1:9">
      <c r="A31" s="153"/>
    </row>
    <row r="32" spans="1:9">
      <c r="A32" s="153"/>
    </row>
    <row r="33" spans="1:6" ht="13.5" thickBot="1">
      <c r="A33" s="153"/>
      <c r="F33" s="117">
        <f>SUM(F18:F32)</f>
        <v>1500</v>
      </c>
    </row>
    <row r="34" spans="1:6" ht="13.5" thickTop="1">
      <c r="A34" s="153"/>
    </row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Five Hundred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3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44263-3422-4C8B-AFD6-751EEB3CB687}">
  <sheetPr codeName="Sheet544">
    <pageSetUpPr fitToPage="1"/>
  </sheetPr>
  <dimension ref="A1:I52"/>
  <sheetViews>
    <sheetView workbookViewId="0">
      <selection activeCell="G9" sqref="G9:G13"/>
    </sheetView>
  </sheetViews>
  <sheetFormatPr defaultRowHeight="12.75"/>
  <cols>
    <col min="1" max="1" width="15.7109375" style="111" customWidth="1"/>
    <col min="2" max="2" width="13.85546875" style="111" customWidth="1"/>
    <col min="3" max="3" width="23" style="111" customWidth="1"/>
    <col min="4" max="4" width="12.7109375" style="111" customWidth="1"/>
    <col min="5" max="5" width="10.85546875" style="111" customWidth="1"/>
    <col min="6" max="6" width="12.855468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5518</v>
      </c>
    </row>
    <row r="10" spans="1:6">
      <c r="A10" s="111" t="s">
        <v>5520</v>
      </c>
      <c r="D10" s="112" t="s">
        <v>1162</v>
      </c>
      <c r="E10" s="123" t="s">
        <v>5512</v>
      </c>
    </row>
    <row r="11" spans="1:6">
      <c r="A11" s="111" t="s">
        <v>5521</v>
      </c>
      <c r="D11" s="112" t="s">
        <v>1163</v>
      </c>
      <c r="E11" s="112" t="s">
        <v>1094</v>
      </c>
    </row>
    <row r="12" spans="1:6">
      <c r="A12" s="410" t="s">
        <v>5522</v>
      </c>
      <c r="D12" s="112" t="s">
        <v>1169</v>
      </c>
      <c r="E12" s="120" t="s">
        <v>5519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9">
      <c r="A17" s="153"/>
    </row>
    <row r="18" spans="1:9">
      <c r="C18" s="2" t="s">
        <v>3176</v>
      </c>
    </row>
    <row r="20" spans="1:9">
      <c r="A20" s="116" t="s">
        <v>5435</v>
      </c>
      <c r="B20" s="116" t="s">
        <v>5523</v>
      </c>
      <c r="C20" s="111" t="s">
        <v>5524</v>
      </c>
      <c r="F20" s="111">
        <v>2700</v>
      </c>
      <c r="I20" s="317"/>
    </row>
    <row r="21" spans="1:9">
      <c r="A21" s="116"/>
      <c r="B21" s="116"/>
    </row>
    <row r="22" spans="1:9">
      <c r="A22" s="116"/>
      <c r="B22" s="121"/>
    </row>
    <row r="23" spans="1:9">
      <c r="A23" s="173"/>
    </row>
    <row r="24" spans="1:9">
      <c r="A24" s="116"/>
      <c r="B24" s="121"/>
    </row>
    <row r="25" spans="1:9">
      <c r="A25" s="173"/>
    </row>
    <row r="26" spans="1:9">
      <c r="A26" s="116"/>
      <c r="B26" s="121"/>
    </row>
    <row r="27" spans="1:9">
      <c r="A27" s="116"/>
      <c r="B27" s="116"/>
    </row>
    <row r="28" spans="1:9">
      <c r="A28" s="153"/>
    </row>
    <row r="29" spans="1:9">
      <c r="A29" s="153"/>
    </row>
    <row r="30" spans="1:9">
      <c r="A30" s="153"/>
    </row>
    <row r="31" spans="1:9">
      <c r="A31" s="153"/>
    </row>
    <row r="32" spans="1:9">
      <c r="A32" s="153"/>
    </row>
    <row r="33" spans="1:6" ht="13.5" thickBot="1">
      <c r="A33" s="153"/>
      <c r="F33" s="117">
        <f>SUM(F18:F32)</f>
        <v>2700</v>
      </c>
    </row>
    <row r="34" spans="1:6" ht="13.5" thickTop="1">
      <c r="A34" s="153"/>
    </row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Thousand Seven Hundred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3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1-000000000000}">
  <sheetPr codeName="Sheet406"/>
  <dimension ref="A1:F52"/>
  <sheetViews>
    <sheetView view="pageBreakPreview" zoomScale="115" zoomScaleNormal="100" zoomScaleSheetLayoutView="115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A9" s="111" t="s">
        <v>3680</v>
      </c>
      <c r="D9" s="112" t="s">
        <v>1134</v>
      </c>
      <c r="E9" s="131" t="s">
        <v>3677</v>
      </c>
    </row>
    <row r="10" spans="1:6">
      <c r="A10" s="111" t="s">
        <v>3681</v>
      </c>
      <c r="D10" s="112" t="s">
        <v>1180</v>
      </c>
      <c r="E10" s="143" t="s">
        <v>3679</v>
      </c>
    </row>
    <row r="11" spans="1:6">
      <c r="A11" s="111" t="s">
        <v>3682</v>
      </c>
      <c r="D11" s="112" t="s">
        <v>1181</v>
      </c>
      <c r="E11" s="132" t="s">
        <v>1094</v>
      </c>
    </row>
    <row r="12" spans="1:6">
      <c r="A12" s="111" t="s">
        <v>3683</v>
      </c>
      <c r="D12" s="112" t="s">
        <v>1182</v>
      </c>
      <c r="E12" s="140" t="s">
        <v>3678</v>
      </c>
    </row>
    <row r="13" spans="1:6">
      <c r="A13" s="111" t="s">
        <v>3684</v>
      </c>
    </row>
    <row r="14" spans="1:6">
      <c r="A14" s="111" t="s">
        <v>3685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3686</v>
      </c>
    </row>
    <row r="19" spans="1:6">
      <c r="C19" s="2"/>
    </row>
    <row r="20" spans="1:6">
      <c r="A20" s="116" t="s">
        <v>3687</v>
      </c>
      <c r="C20" s="111" t="s">
        <v>3688</v>
      </c>
      <c r="F20" s="111">
        <v>1300</v>
      </c>
    </row>
    <row r="21" spans="1:6">
      <c r="C21" s="168"/>
    </row>
    <row r="22" spans="1:6">
      <c r="C22" s="111" t="s">
        <v>3689</v>
      </c>
      <c r="F22" s="111">
        <v>650</v>
      </c>
    </row>
    <row r="25" spans="1:6">
      <c r="A25" s="148"/>
    </row>
    <row r="26" spans="1:6">
      <c r="C26" s="120"/>
    </row>
    <row r="27" spans="1:6">
      <c r="C27" s="120"/>
    </row>
    <row r="28" spans="1:6">
      <c r="C28" s="2"/>
    </row>
    <row r="33" spans="1:6" ht="13.5" thickBot="1">
      <c r="F33" s="127">
        <f>SUM(F19:F32)</f>
        <v>1950</v>
      </c>
    </row>
    <row r="34" spans="1:6" ht="13.5" thickTop="1"/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Nine Hundred Fifty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26" t="s">
        <v>10</v>
      </c>
      <c r="D37" s="265" t="s">
        <v>2894</v>
      </c>
      <c r="E37" s="266"/>
      <c r="F37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4:4">
      <c r="D49" s="111" t="s">
        <v>2</v>
      </c>
    </row>
    <row r="51" spans="4:4">
      <c r="D51" s="2" t="s">
        <v>1</v>
      </c>
    </row>
    <row r="52" spans="4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3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1-000000000000}">
  <sheetPr codeName="Sheet349"/>
  <dimension ref="A1:R55"/>
  <sheetViews>
    <sheetView view="pageBreakPreview" zoomScale="115" zoomScaleNormal="100" zoomScaleSheetLayoutView="115" workbookViewId="0">
      <selection activeCell="G9" sqref="G9:G13"/>
    </sheetView>
  </sheetViews>
  <sheetFormatPr defaultRowHeight="12.75"/>
  <cols>
    <col min="1" max="1" width="16" style="131" customWidth="1"/>
    <col min="2" max="2" width="13.7109375" style="131" customWidth="1"/>
    <col min="3" max="3" width="1.28515625" style="131" customWidth="1"/>
    <col min="4" max="4" width="19.42578125" style="131" customWidth="1"/>
    <col min="5" max="5" width="1.42578125" style="131" customWidth="1"/>
    <col min="6" max="6" width="15.28515625" style="131" customWidth="1"/>
    <col min="7" max="7" width="7.5703125" style="131" customWidth="1"/>
    <col min="8" max="8" width="13.28515625" style="131" customWidth="1"/>
    <col min="9" max="15" width="9.140625" style="86"/>
    <col min="16" max="16" width="9.7109375" style="86" bestFit="1" customWidth="1"/>
    <col min="17" max="16384" width="9.140625" style="86"/>
  </cols>
  <sheetData>
    <row r="1" spans="1:16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6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6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6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16">
      <c r="A8" s="131" t="s">
        <v>24</v>
      </c>
      <c r="F8" s="87" t="s">
        <v>23</v>
      </c>
    </row>
    <row r="9" spans="1:16">
      <c r="F9" s="132" t="s">
        <v>1110</v>
      </c>
      <c r="G9" s="111" t="s">
        <v>6205</v>
      </c>
    </row>
    <row r="10" spans="1:16">
      <c r="A10" s="131" t="s">
        <v>6070</v>
      </c>
      <c r="F10" s="132" t="s">
        <v>1685</v>
      </c>
      <c r="G10" s="123" t="s">
        <v>6202</v>
      </c>
    </row>
    <row r="11" spans="1:16">
      <c r="A11" s="131" t="s">
        <v>6002</v>
      </c>
      <c r="F11" s="132" t="s">
        <v>1163</v>
      </c>
      <c r="G11" s="112" t="s">
        <v>1094</v>
      </c>
    </row>
    <row r="12" spans="1:16">
      <c r="A12" s="131" t="s">
        <v>1587</v>
      </c>
      <c r="F12" s="132" t="s">
        <v>1188</v>
      </c>
      <c r="G12" s="120"/>
    </row>
    <row r="13" spans="1:16">
      <c r="A13" s="131" t="s">
        <v>1588</v>
      </c>
      <c r="L13" s="131" t="s">
        <v>4741</v>
      </c>
      <c r="M13" s="131"/>
      <c r="N13" s="131"/>
      <c r="O13" s="131"/>
      <c r="P13" s="131">
        <v>3000</v>
      </c>
    </row>
    <row r="14" spans="1:16">
      <c r="A14" s="131" t="s">
        <v>3420</v>
      </c>
      <c r="L14" s="131" t="s">
        <v>1814</v>
      </c>
      <c r="M14" s="131"/>
      <c r="N14" s="131"/>
      <c r="O14" s="131"/>
      <c r="P14" s="131">
        <f>P13*6%</f>
        <v>180</v>
      </c>
    </row>
    <row r="15" spans="1:16">
      <c r="L15" s="131"/>
      <c r="M15" s="131"/>
      <c r="N15" s="131"/>
      <c r="O15" s="131"/>
      <c r="P15" s="131"/>
    </row>
    <row r="16" spans="1:16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  <c r="L16" s="131" t="s">
        <v>4743</v>
      </c>
      <c r="M16" s="131"/>
      <c r="N16" s="131"/>
      <c r="O16" s="131"/>
      <c r="P16" s="131">
        <f>3000*4</f>
        <v>12000</v>
      </c>
    </row>
    <row r="17" spans="1:18">
      <c r="A17" s="177"/>
      <c r="K17" s="131"/>
      <c r="L17" s="131" t="s">
        <v>4742</v>
      </c>
      <c r="M17" s="131"/>
      <c r="N17" s="131"/>
      <c r="O17" s="131"/>
      <c r="P17" s="131">
        <f>3000*4</f>
        <v>12000</v>
      </c>
    </row>
    <row r="18" spans="1:18">
      <c r="D18" s="110" t="s">
        <v>5861</v>
      </c>
      <c r="E18" s="110"/>
      <c r="K18" s="131"/>
      <c r="L18" s="131" t="s">
        <v>1814</v>
      </c>
      <c r="M18" s="131"/>
      <c r="N18" s="131"/>
      <c r="O18" s="131"/>
      <c r="P18" s="131">
        <f>SUM(P16+P17)*6%</f>
        <v>1440</v>
      </c>
    </row>
    <row r="19" spans="1:18">
      <c r="A19" s="177"/>
      <c r="D19" s="110"/>
      <c r="E19" s="110"/>
      <c r="I19" s="131" t="s">
        <v>5795</v>
      </c>
      <c r="J19" s="131"/>
      <c r="K19" s="131"/>
      <c r="L19" s="131"/>
      <c r="M19" s="131">
        <v>7500</v>
      </c>
      <c r="N19" s="131"/>
      <c r="O19" s="131"/>
    </row>
    <row r="20" spans="1:18">
      <c r="A20" s="254" t="s">
        <v>6071</v>
      </c>
      <c r="B20" s="158" t="s">
        <v>6072</v>
      </c>
      <c r="C20" s="158"/>
      <c r="D20" s="131" t="s">
        <v>6073</v>
      </c>
      <c r="H20" s="131">
        <v>2800</v>
      </c>
      <c r="I20" s="131" t="s">
        <v>5794</v>
      </c>
      <c r="J20" s="131"/>
      <c r="K20" s="131"/>
      <c r="L20" s="131"/>
      <c r="M20" s="131">
        <v>22500</v>
      </c>
    </row>
    <row r="21" spans="1:18">
      <c r="A21" s="254"/>
      <c r="B21" s="158"/>
      <c r="C21" s="158"/>
      <c r="D21" s="131" t="s">
        <v>5175</v>
      </c>
      <c r="H21" s="131">
        <f>H20*6%</f>
        <v>168</v>
      </c>
      <c r="I21" s="131" t="s">
        <v>5175</v>
      </c>
      <c r="J21" s="131"/>
      <c r="K21" s="131"/>
      <c r="L21" s="131"/>
      <c r="M21" s="131">
        <f>SUM(M19+M20)*6%</f>
        <v>1800</v>
      </c>
    </row>
    <row r="22" spans="1:18">
      <c r="A22" s="254"/>
      <c r="B22" s="158"/>
      <c r="C22" s="158"/>
      <c r="I22" s="131"/>
      <c r="J22" s="131"/>
      <c r="K22" s="131"/>
      <c r="L22" s="131"/>
      <c r="M22" s="131"/>
    </row>
    <row r="23" spans="1:18">
      <c r="A23" s="254"/>
      <c r="B23" s="158"/>
      <c r="C23" s="158"/>
      <c r="I23" s="131" t="s">
        <v>5771</v>
      </c>
      <c r="J23" s="131"/>
      <c r="K23" s="131"/>
      <c r="L23" s="131"/>
      <c r="M23" s="131">
        <v>24000</v>
      </c>
    </row>
    <row r="24" spans="1:18">
      <c r="A24" s="254"/>
      <c r="B24" s="141"/>
      <c r="I24" s="131" t="s">
        <v>5175</v>
      </c>
      <c r="J24" s="131"/>
      <c r="K24" s="131"/>
      <c r="L24" s="131"/>
      <c r="M24" s="131">
        <f>M23*6%</f>
        <v>1440</v>
      </c>
      <c r="N24" s="110" t="s">
        <v>5736</v>
      </c>
      <c r="O24" s="131"/>
      <c r="P24" s="131"/>
      <c r="Q24" s="131"/>
      <c r="R24" s="131"/>
    </row>
    <row r="25" spans="1:18">
      <c r="A25" s="254"/>
      <c r="B25" s="158"/>
      <c r="I25" s="131"/>
      <c r="J25" s="131"/>
      <c r="K25" s="131"/>
      <c r="L25" s="131"/>
      <c r="M25" s="131"/>
      <c r="N25" s="131"/>
      <c r="O25" s="131"/>
      <c r="P25" s="131"/>
      <c r="Q25" s="131"/>
      <c r="R25" s="131"/>
    </row>
    <row r="26" spans="1:18">
      <c r="A26" s="254"/>
      <c r="B26" s="158"/>
      <c r="K26" s="254" t="s">
        <v>5758</v>
      </c>
      <c r="L26" s="158" t="s">
        <v>5772</v>
      </c>
      <c r="M26" s="131"/>
      <c r="N26" s="131" t="s">
        <v>5773</v>
      </c>
      <c r="O26" s="131"/>
      <c r="P26" s="131"/>
      <c r="Q26" s="131"/>
      <c r="R26" s="131">
        <f>3000*4</f>
        <v>12000</v>
      </c>
    </row>
    <row r="27" spans="1:18">
      <c r="A27" s="254"/>
      <c r="B27" s="158"/>
      <c r="K27" s="158"/>
      <c r="L27" s="141"/>
      <c r="M27" s="131"/>
      <c r="N27" s="131" t="s">
        <v>5774</v>
      </c>
      <c r="O27" s="131"/>
      <c r="P27" s="131"/>
      <c r="Q27" s="131"/>
      <c r="R27" s="131">
        <f>3000*6</f>
        <v>18000</v>
      </c>
    </row>
    <row r="28" spans="1:18">
      <c r="A28" s="158"/>
      <c r="B28" s="141"/>
      <c r="K28" s="158"/>
      <c r="L28" s="141"/>
      <c r="M28" s="131"/>
      <c r="N28" s="131"/>
      <c r="O28" s="131"/>
      <c r="P28" s="131"/>
      <c r="Q28" s="131"/>
      <c r="R28" s="131"/>
    </row>
    <row r="29" spans="1:18">
      <c r="A29" s="158"/>
      <c r="B29" s="141"/>
    </row>
    <row r="31" spans="1:18">
      <c r="A31" s="158"/>
      <c r="B31" s="141"/>
    </row>
    <row r="32" spans="1:18">
      <c r="A32" s="254"/>
      <c r="B32" s="158"/>
    </row>
    <row r="33" spans="1:8">
      <c r="A33" s="158"/>
      <c r="B33" s="141"/>
    </row>
    <row r="34" spans="1:8">
      <c r="A34" s="158"/>
      <c r="B34" s="158"/>
      <c r="C34" s="86"/>
    </row>
    <row r="35" spans="1:8">
      <c r="A35" s="177"/>
      <c r="H35" s="86"/>
    </row>
    <row r="36" spans="1:8" ht="13.5" thickBot="1">
      <c r="A36" s="177"/>
      <c r="H36" s="164">
        <f>SUM(H19:H34)</f>
        <v>2968</v>
      </c>
    </row>
    <row r="37" spans="1:8" ht="13.5" thickTop="1">
      <c r="A37" s="177"/>
    </row>
    <row r="38" spans="1:8" ht="20.100000000000001" customHeight="1">
      <c r="A38" s="138" t="s">
        <v>1686</v>
      </c>
      <c r="B38" s="204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Two Thousand Nine Hundred Sixty-Eight and NO/100 -----------</v>
      </c>
      <c r="C38" s="204"/>
      <c r="D38" s="139"/>
      <c r="E38" s="139"/>
      <c r="F38" s="139"/>
      <c r="G38" s="139"/>
      <c r="H38" s="139"/>
    </row>
    <row r="39" spans="1:8">
      <c r="A39" s="140"/>
    </row>
    <row r="40" spans="1:8" ht="25.5">
      <c r="A40" s="131" t="s">
        <v>10</v>
      </c>
      <c r="F40" s="283" t="s">
        <v>2894</v>
      </c>
      <c r="G40" s="284"/>
      <c r="H40" s="285"/>
    </row>
    <row r="42" spans="1:8">
      <c r="F42" s="291"/>
      <c r="G42" s="291"/>
      <c r="H42" s="291"/>
    </row>
    <row r="43" spans="1:8">
      <c r="A43" s="131" t="s">
        <v>51</v>
      </c>
      <c r="D43" s="141"/>
      <c r="E43" s="141"/>
      <c r="F43" s="286"/>
      <c r="G43" s="287"/>
      <c r="H43" s="287"/>
    </row>
    <row r="44" spans="1:8">
      <c r="A44" s="104"/>
      <c r="B44" s="142"/>
    </row>
    <row r="46" spans="1:8">
      <c r="A46" s="131" t="s">
        <v>8</v>
      </c>
      <c r="D46" s="131" t="s">
        <v>8</v>
      </c>
      <c r="F46" s="143" t="s">
        <v>7</v>
      </c>
      <c r="H46" s="144"/>
    </row>
    <row r="50" spans="1:8">
      <c r="A50" s="142"/>
      <c r="B50" s="142"/>
      <c r="D50" s="142"/>
      <c r="F50" s="142"/>
      <c r="G50" s="142"/>
      <c r="H50" s="142"/>
    </row>
    <row r="51" spans="1:8" s="109" customFormat="1" ht="17.100000000000001" customHeight="1">
      <c r="A51" s="131" t="s">
        <v>2948</v>
      </c>
      <c r="B51" s="146"/>
      <c r="C51" s="146"/>
      <c r="D51" s="131" t="s">
        <v>103</v>
      </c>
      <c r="E51" s="147"/>
      <c r="F51" s="147" t="s">
        <v>3</v>
      </c>
      <c r="G51" s="147"/>
      <c r="H51" s="147"/>
    </row>
    <row r="52" spans="1:8">
      <c r="F52" s="131" t="s">
        <v>2</v>
      </c>
    </row>
    <row r="54" spans="1:8">
      <c r="F54" s="110" t="s">
        <v>1</v>
      </c>
    </row>
    <row r="55" spans="1:8">
      <c r="F55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3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18AA9-7120-4181-B21D-F8E428E142FE}">
  <sheetPr codeName="Sheet591"/>
  <dimension ref="A1:R55"/>
  <sheetViews>
    <sheetView view="pageBreakPreview" topLeftCell="A7" zoomScale="115" zoomScaleNormal="100" zoomScaleSheetLayoutView="115" workbookViewId="0">
      <selection activeCell="G9" sqref="G9:G13"/>
    </sheetView>
  </sheetViews>
  <sheetFormatPr defaultRowHeight="12.75"/>
  <cols>
    <col min="1" max="1" width="16" style="131" customWidth="1"/>
    <col min="2" max="2" width="13.7109375" style="131" customWidth="1"/>
    <col min="3" max="3" width="1.28515625" style="131" customWidth="1"/>
    <col min="4" max="4" width="19.42578125" style="131" customWidth="1"/>
    <col min="5" max="5" width="1.42578125" style="131" customWidth="1"/>
    <col min="6" max="6" width="15.28515625" style="131" customWidth="1"/>
    <col min="7" max="7" width="7.5703125" style="131" customWidth="1"/>
    <col min="8" max="8" width="12.42578125" style="131" customWidth="1"/>
    <col min="9" max="15" width="9.140625" style="86"/>
    <col min="16" max="16" width="9.7109375" style="86" bestFit="1" customWidth="1"/>
    <col min="17" max="16384" width="9.140625" style="86"/>
  </cols>
  <sheetData>
    <row r="1" spans="1:16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6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6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6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16">
      <c r="A8" s="131" t="s">
        <v>24</v>
      </c>
      <c r="F8" s="87" t="s">
        <v>23</v>
      </c>
    </row>
    <row r="9" spans="1:16">
      <c r="F9" s="132" t="s">
        <v>1110</v>
      </c>
      <c r="G9" s="132" t="s">
        <v>6216</v>
      </c>
    </row>
    <row r="10" spans="1:16">
      <c r="A10" s="131" t="s">
        <v>6206</v>
      </c>
      <c r="F10" s="132" t="s">
        <v>1685</v>
      </c>
      <c r="G10" s="132" t="s">
        <v>6210</v>
      </c>
    </row>
    <row r="11" spans="1:16">
      <c r="A11" s="131" t="s">
        <v>6207</v>
      </c>
      <c r="F11" s="132" t="s">
        <v>1163</v>
      </c>
      <c r="G11" s="132" t="s">
        <v>1094</v>
      </c>
    </row>
    <row r="12" spans="1:16">
      <c r="A12" s="131" t="s">
        <v>6208</v>
      </c>
      <c r="F12" s="132" t="s">
        <v>1188</v>
      </c>
      <c r="G12" s="120" t="s">
        <v>6223</v>
      </c>
    </row>
    <row r="13" spans="1:16">
      <c r="A13" s="131" t="s">
        <v>6209</v>
      </c>
      <c r="G13" s="111"/>
      <c r="L13" s="131" t="s">
        <v>4741</v>
      </c>
      <c r="M13" s="131"/>
      <c r="N13" s="131"/>
      <c r="O13" s="131"/>
      <c r="P13" s="131">
        <v>3000</v>
      </c>
    </row>
    <row r="14" spans="1:16">
      <c r="L14" s="131" t="s">
        <v>1814</v>
      </c>
      <c r="M14" s="131"/>
      <c r="N14" s="131"/>
      <c r="O14" s="131"/>
      <c r="P14" s="131">
        <f>P13*6%</f>
        <v>180</v>
      </c>
    </row>
    <row r="15" spans="1:16">
      <c r="L15" s="131"/>
      <c r="M15" s="131"/>
      <c r="N15" s="131"/>
      <c r="O15" s="131"/>
      <c r="P15" s="131"/>
    </row>
    <row r="16" spans="1:16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  <c r="L16" s="131" t="s">
        <v>4743</v>
      </c>
      <c r="M16" s="131"/>
      <c r="N16" s="131"/>
      <c r="O16" s="131"/>
      <c r="P16" s="131">
        <f>3000*4</f>
        <v>12000</v>
      </c>
    </row>
    <row r="17" spans="1:18">
      <c r="A17" s="177"/>
      <c r="K17" s="131"/>
      <c r="L17" s="131" t="s">
        <v>4742</v>
      </c>
      <c r="M17" s="131"/>
      <c r="N17" s="131"/>
      <c r="O17" s="131"/>
      <c r="P17" s="131">
        <f>3000*4</f>
        <v>12000</v>
      </c>
    </row>
    <row r="18" spans="1:18">
      <c r="D18" s="110" t="s">
        <v>4503</v>
      </c>
      <c r="E18" s="110"/>
      <c r="K18" s="131"/>
      <c r="L18" s="131" t="s">
        <v>1814</v>
      </c>
      <c r="M18" s="131"/>
      <c r="N18" s="131"/>
      <c r="O18" s="131"/>
      <c r="P18" s="131">
        <f>SUM(P16+P17)*6%</f>
        <v>1440</v>
      </c>
    </row>
    <row r="19" spans="1:18">
      <c r="A19" s="177"/>
      <c r="D19" s="110"/>
      <c r="E19" s="110"/>
      <c r="I19" s="131" t="s">
        <v>5795</v>
      </c>
      <c r="J19" s="131"/>
      <c r="K19" s="131"/>
      <c r="L19" s="131"/>
      <c r="M19" s="131">
        <v>7500</v>
      </c>
      <c r="N19" s="131"/>
      <c r="O19" s="131"/>
    </row>
    <row r="20" spans="1:18">
      <c r="A20" s="254" t="s">
        <v>6190</v>
      </c>
      <c r="B20" s="158" t="s">
        <v>6224</v>
      </c>
      <c r="C20" s="158"/>
      <c r="D20" s="131" t="s">
        <v>6225</v>
      </c>
      <c r="H20" s="131">
        <f>3000*6</f>
        <v>18000</v>
      </c>
      <c r="I20" s="131" t="s">
        <v>5794</v>
      </c>
      <c r="J20" s="131"/>
      <c r="K20" s="131"/>
      <c r="L20" s="131"/>
      <c r="M20" s="131">
        <v>22500</v>
      </c>
    </row>
    <row r="21" spans="1:18">
      <c r="A21" s="254"/>
      <c r="B21" s="158"/>
      <c r="C21" s="158"/>
      <c r="D21" s="131" t="s">
        <v>5175</v>
      </c>
      <c r="H21" s="131">
        <f>H20*6%</f>
        <v>1080</v>
      </c>
      <c r="I21" s="131" t="s">
        <v>5175</v>
      </c>
      <c r="J21" s="131"/>
      <c r="K21" s="131"/>
      <c r="L21" s="131"/>
      <c r="M21" s="131">
        <f>SUM(M19+M20)*6%</f>
        <v>1800</v>
      </c>
    </row>
    <row r="22" spans="1:18">
      <c r="A22" s="254"/>
      <c r="B22" s="158"/>
      <c r="C22" s="158"/>
      <c r="I22" s="131"/>
      <c r="J22" s="131"/>
      <c r="K22" s="131"/>
      <c r="L22" s="131"/>
      <c r="M22" s="131"/>
    </row>
    <row r="23" spans="1:18">
      <c r="A23" s="254" t="s">
        <v>6190</v>
      </c>
      <c r="B23" s="158" t="s">
        <v>6226</v>
      </c>
      <c r="C23" s="158"/>
      <c r="D23" s="131" t="s">
        <v>6227</v>
      </c>
      <c r="H23" s="131">
        <f>1500*6</f>
        <v>9000</v>
      </c>
      <c r="I23" s="131" t="s">
        <v>5771</v>
      </c>
      <c r="J23" s="131"/>
      <c r="K23" s="131"/>
      <c r="L23" s="131"/>
      <c r="M23" s="131">
        <v>24000</v>
      </c>
    </row>
    <row r="24" spans="1:18">
      <c r="A24" s="254"/>
      <c r="B24" s="141"/>
      <c r="D24" s="131" t="s">
        <v>5175</v>
      </c>
      <c r="H24" s="131">
        <f>H23*6%</f>
        <v>540</v>
      </c>
      <c r="I24" s="131" t="s">
        <v>5175</v>
      </c>
      <c r="J24" s="131"/>
      <c r="K24" s="131"/>
      <c r="L24" s="131"/>
      <c r="M24" s="131">
        <f>M23*6%</f>
        <v>1440</v>
      </c>
      <c r="N24" s="110" t="s">
        <v>5736</v>
      </c>
      <c r="O24" s="131"/>
      <c r="P24" s="131"/>
      <c r="Q24" s="131"/>
      <c r="R24" s="131"/>
    </row>
    <row r="25" spans="1:18">
      <c r="A25" s="254"/>
      <c r="B25" s="158"/>
      <c r="I25" s="131"/>
      <c r="J25" s="131"/>
      <c r="K25" s="131"/>
      <c r="L25" s="131"/>
      <c r="M25" s="131"/>
      <c r="N25" s="131"/>
      <c r="O25" s="131"/>
      <c r="P25" s="131"/>
      <c r="Q25" s="131"/>
      <c r="R25" s="131"/>
    </row>
    <row r="26" spans="1:18">
      <c r="A26" s="254"/>
      <c r="B26" s="158"/>
      <c r="D26" s="110"/>
      <c r="K26" s="254" t="s">
        <v>5758</v>
      </c>
      <c r="L26" s="158" t="s">
        <v>5772</v>
      </c>
      <c r="M26" s="131"/>
      <c r="N26" s="131" t="s">
        <v>5773</v>
      </c>
      <c r="O26" s="131"/>
      <c r="P26" s="131"/>
      <c r="Q26" s="131"/>
      <c r="R26" s="131">
        <f>3000*4</f>
        <v>12000</v>
      </c>
    </row>
    <row r="27" spans="1:18">
      <c r="A27" s="254"/>
      <c r="B27" s="158"/>
      <c r="K27" s="158"/>
      <c r="L27" s="141"/>
      <c r="M27" s="131"/>
      <c r="N27" s="131" t="s">
        <v>5774</v>
      </c>
      <c r="O27" s="131"/>
      <c r="P27" s="131"/>
      <c r="Q27" s="131"/>
      <c r="R27" s="131">
        <f>3000*6</f>
        <v>18000</v>
      </c>
    </row>
    <row r="28" spans="1:18">
      <c r="A28" s="158"/>
      <c r="B28" s="141"/>
      <c r="K28" s="158"/>
      <c r="L28" s="141"/>
      <c r="M28" s="131"/>
      <c r="N28" s="131"/>
      <c r="O28" s="131"/>
      <c r="P28" s="131"/>
      <c r="Q28" s="131"/>
      <c r="R28" s="131"/>
    </row>
    <row r="29" spans="1:18">
      <c r="A29" s="158"/>
      <c r="B29" s="141"/>
    </row>
    <row r="31" spans="1:18">
      <c r="A31" s="158"/>
      <c r="B31" s="141"/>
    </row>
    <row r="32" spans="1:18">
      <c r="A32" s="254"/>
      <c r="B32" s="158"/>
    </row>
    <row r="33" spans="1:8">
      <c r="A33" s="158"/>
      <c r="B33" s="141"/>
    </row>
    <row r="34" spans="1:8">
      <c r="A34" s="158"/>
      <c r="B34" s="158"/>
      <c r="C34" s="86"/>
    </row>
    <row r="35" spans="1:8">
      <c r="A35" s="177"/>
      <c r="H35" s="86"/>
    </row>
    <row r="36" spans="1:8" ht="13.5" thickBot="1">
      <c r="A36" s="177"/>
      <c r="H36" s="164">
        <f>SUM(H19:H34)</f>
        <v>28620</v>
      </c>
    </row>
    <row r="37" spans="1:8" ht="13.5" thickTop="1">
      <c r="A37" s="177"/>
    </row>
    <row r="38" spans="1:8" ht="20.100000000000001" customHeight="1">
      <c r="A38" s="138" t="s">
        <v>1686</v>
      </c>
      <c r="B38" s="204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Twenty-Eight Thousand Six Hundred Twenty and NO/100 -----------</v>
      </c>
      <c r="C38" s="204"/>
      <c r="D38" s="139"/>
      <c r="E38" s="139"/>
      <c r="F38" s="139"/>
      <c r="G38" s="139"/>
      <c r="H38" s="139"/>
    </row>
    <row r="39" spans="1:8">
      <c r="A39" s="140"/>
    </row>
    <row r="40" spans="1:8" ht="25.5">
      <c r="A40" s="131" t="s">
        <v>10</v>
      </c>
      <c r="F40" s="283" t="s">
        <v>2894</v>
      </c>
      <c r="G40" s="284"/>
      <c r="H40" s="285"/>
    </row>
    <row r="42" spans="1:8">
      <c r="F42" s="291"/>
      <c r="G42" s="291"/>
      <c r="H42" s="291"/>
    </row>
    <row r="43" spans="1:8">
      <c r="A43" s="131" t="s">
        <v>51</v>
      </c>
      <c r="D43" s="141"/>
      <c r="E43" s="141"/>
      <c r="F43" s="286"/>
      <c r="G43" s="287"/>
      <c r="H43" s="287"/>
    </row>
    <row r="44" spans="1:8">
      <c r="A44" s="104"/>
      <c r="B44" s="142"/>
    </row>
    <row r="46" spans="1:8">
      <c r="A46" s="131" t="s">
        <v>8</v>
      </c>
      <c r="D46" s="131" t="s">
        <v>8</v>
      </c>
      <c r="F46" s="143" t="s">
        <v>7</v>
      </c>
      <c r="H46" s="144"/>
    </row>
    <row r="50" spans="1:8">
      <c r="A50" s="142"/>
      <c r="B50" s="142"/>
      <c r="D50" s="142"/>
      <c r="F50" s="142"/>
      <c r="G50" s="142"/>
      <c r="H50" s="142"/>
    </row>
    <row r="51" spans="1:8" s="109" customFormat="1" ht="17.100000000000001" customHeight="1">
      <c r="A51" s="131" t="s">
        <v>2948</v>
      </c>
      <c r="B51" s="146"/>
      <c r="C51" s="146"/>
      <c r="D51" s="131" t="s">
        <v>103</v>
      </c>
      <c r="E51" s="147"/>
      <c r="F51" s="147" t="s">
        <v>3</v>
      </c>
      <c r="G51" s="147"/>
      <c r="H51" s="147"/>
    </row>
    <row r="52" spans="1:8">
      <c r="F52" s="131" t="s">
        <v>2</v>
      </c>
    </row>
    <row r="54" spans="1:8">
      <c r="F54" s="110" t="s">
        <v>1</v>
      </c>
    </row>
    <row r="55" spans="1:8">
      <c r="F55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18">
    <pageSetUpPr fitToPage="1"/>
  </sheetPr>
  <dimension ref="A1:H52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7109375" style="131" customWidth="1"/>
    <col min="3" max="3" width="1.28515625" style="131" customWidth="1"/>
    <col min="4" max="4" width="21" style="131" customWidth="1"/>
    <col min="5" max="5" width="1.42578125" style="131" customWidth="1"/>
    <col min="6" max="6" width="16.42578125" style="131" customWidth="1"/>
    <col min="7" max="7" width="9" style="131" customWidth="1"/>
    <col min="8" max="8" width="13.28515625" style="131" customWidth="1"/>
    <col min="9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1110</v>
      </c>
      <c r="G9" s="111" t="s">
        <v>4185</v>
      </c>
    </row>
    <row r="10" spans="1:8">
      <c r="A10" s="131" t="s">
        <v>4016</v>
      </c>
      <c r="F10" s="132" t="s">
        <v>1685</v>
      </c>
      <c r="G10" s="111" t="s">
        <v>4184</v>
      </c>
    </row>
    <row r="11" spans="1:8">
      <c r="A11" s="140" t="s">
        <v>4017</v>
      </c>
      <c r="F11" s="132" t="s">
        <v>1163</v>
      </c>
      <c r="G11" s="111" t="s">
        <v>1094</v>
      </c>
    </row>
    <row r="12" spans="1:8">
      <c r="A12" s="131" t="s">
        <v>4018</v>
      </c>
      <c r="F12" s="132" t="s">
        <v>1188</v>
      </c>
      <c r="G12" s="120" t="s">
        <v>4186</v>
      </c>
    </row>
    <row r="13" spans="1:8">
      <c r="A13" s="131" t="s">
        <v>4019</v>
      </c>
    </row>
    <row r="16" spans="1:8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7" spans="1:8">
      <c r="A17" s="177"/>
    </row>
    <row r="18" spans="1:8">
      <c r="A18" s="158" t="s">
        <v>4187</v>
      </c>
      <c r="B18" s="158" t="s">
        <v>4188</v>
      </c>
      <c r="D18" s="131" t="s">
        <v>4189</v>
      </c>
      <c r="E18" s="110"/>
      <c r="H18" s="131">
        <v>150</v>
      </c>
    </row>
    <row r="19" spans="1:8">
      <c r="A19" s="177"/>
      <c r="E19" s="110"/>
    </row>
    <row r="20" spans="1:8">
      <c r="A20" s="254"/>
      <c r="B20" s="158"/>
      <c r="C20" s="158"/>
    </row>
    <row r="21" spans="1:8">
      <c r="A21" s="177"/>
    </row>
    <row r="22" spans="1:8">
      <c r="A22" s="177"/>
    </row>
    <row r="23" spans="1:8">
      <c r="D23" s="110"/>
      <c r="E23" s="110"/>
    </row>
    <row r="24" spans="1:8">
      <c r="A24" s="254"/>
      <c r="B24" s="158"/>
      <c r="C24" s="158"/>
    </row>
    <row r="25" spans="1:8">
      <c r="A25" s="177"/>
    </row>
    <row r="26" spans="1:8">
      <c r="A26" s="177"/>
    </row>
    <row r="27" spans="1:8">
      <c r="A27" s="158"/>
      <c r="D27" s="110"/>
      <c r="E27" s="110"/>
    </row>
    <row r="29" spans="1:8">
      <c r="A29" s="158"/>
    </row>
    <row r="30" spans="1:8">
      <c r="A30" s="158"/>
      <c r="B30" s="86"/>
      <c r="C30" s="86"/>
    </row>
    <row r="31" spans="1:8">
      <c r="A31" s="86"/>
      <c r="B31" s="86"/>
      <c r="C31" s="86"/>
      <c r="D31" s="86"/>
      <c r="E31" s="86"/>
      <c r="F31" s="86"/>
      <c r="G31" s="86"/>
      <c r="H31" s="86"/>
    </row>
    <row r="32" spans="1:8">
      <c r="A32" s="177"/>
      <c r="H32" s="86"/>
    </row>
    <row r="33" spans="1:8" ht="13.5" thickBot="1">
      <c r="A33" s="177"/>
      <c r="H33" s="137">
        <f>SUM(H17:H31)</f>
        <v>150</v>
      </c>
    </row>
    <row r="34" spans="1:8" ht="13.5" thickTop="1">
      <c r="A34" s="177"/>
    </row>
    <row r="35" spans="1:8" ht="20.100000000000001" customHeight="1">
      <c r="A35" s="138" t="s">
        <v>1686</v>
      </c>
      <c r="B35" s="204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One Hundred Fifty and NO/100 -----------</v>
      </c>
      <c r="C35" s="204"/>
      <c r="D35" s="139"/>
      <c r="E35" s="139"/>
      <c r="F35" s="139"/>
      <c r="G35" s="139"/>
      <c r="H35" s="139"/>
    </row>
    <row r="36" spans="1:8">
      <c r="A36" s="140"/>
    </row>
    <row r="37" spans="1:8" ht="25.5">
      <c r="A37" s="131" t="s">
        <v>10</v>
      </c>
      <c r="F37" s="283" t="s">
        <v>2894</v>
      </c>
      <c r="G37" s="284"/>
      <c r="H37" s="285"/>
    </row>
    <row r="39" spans="1:8">
      <c r="F39" s="291"/>
      <c r="G39" s="291"/>
      <c r="H39" s="291"/>
    </row>
    <row r="40" spans="1:8">
      <c r="A40" s="131" t="s">
        <v>51</v>
      </c>
      <c r="D40" s="141"/>
      <c r="E40" s="141"/>
      <c r="F40" s="286"/>
      <c r="G40" s="287"/>
      <c r="H40" s="287"/>
    </row>
    <row r="41" spans="1:8">
      <c r="A41" s="104"/>
      <c r="B41" s="142"/>
    </row>
    <row r="43" spans="1:8">
      <c r="A43" s="131" t="s">
        <v>8</v>
      </c>
      <c r="F43" s="143" t="s">
        <v>7</v>
      </c>
      <c r="H43" s="144"/>
    </row>
    <row r="47" spans="1:8">
      <c r="A47" s="142"/>
      <c r="B47" s="142"/>
      <c r="F47" s="142"/>
      <c r="G47" s="142"/>
      <c r="H47" s="142"/>
    </row>
    <row r="48" spans="1:8" s="109" customFormat="1" ht="17.100000000000001" customHeight="1">
      <c r="A48" s="131" t="s">
        <v>2948</v>
      </c>
      <c r="B48" s="146"/>
      <c r="C48" s="146"/>
      <c r="D48" s="131"/>
      <c r="E48" s="147"/>
      <c r="F48" s="147" t="s">
        <v>3</v>
      </c>
      <c r="G48" s="147"/>
      <c r="H48" s="147"/>
    </row>
    <row r="49" spans="6:6">
      <c r="F49" s="131" t="s">
        <v>2</v>
      </c>
    </row>
    <row r="51" spans="6:6">
      <c r="F51" s="110" t="s">
        <v>1</v>
      </c>
    </row>
    <row r="52" spans="6:6">
      <c r="F52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1-000000000000}">
  <sheetPr codeName="Sheet350"/>
  <dimension ref="A1:G59"/>
  <sheetViews>
    <sheetView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3.85546875" style="227" customWidth="1"/>
    <col min="3" max="3" width="19.85546875" style="227" customWidth="1"/>
    <col min="4" max="4" width="16.42578125" style="227" customWidth="1"/>
    <col min="5" max="5" width="8.140625" style="227" customWidth="1"/>
    <col min="6" max="6" width="13.28515625" style="227" customWidth="1"/>
    <col min="7" max="7" width="16.140625" style="209" customWidth="1"/>
    <col min="8" max="16384" width="9.140625" style="209"/>
  </cols>
  <sheetData>
    <row r="1" spans="1:7" ht="15" customHeight="1">
      <c r="A1" s="531" t="s">
        <v>26</v>
      </c>
      <c r="B1" s="531"/>
      <c r="C1" s="531"/>
      <c r="D1" s="531"/>
      <c r="E1" s="531"/>
      <c r="F1" s="531"/>
    </row>
    <row r="2" spans="1:7" ht="12.75" customHeight="1">
      <c r="A2" s="532" t="s">
        <v>25</v>
      </c>
      <c r="B2" s="532"/>
      <c r="C2" s="532"/>
      <c r="D2" s="532"/>
      <c r="E2" s="532"/>
      <c r="F2" s="532"/>
    </row>
    <row r="3" spans="1:7" ht="12.75" customHeight="1">
      <c r="A3" s="532" t="s">
        <v>1480</v>
      </c>
      <c r="B3" s="532"/>
      <c r="C3" s="532"/>
      <c r="D3" s="532"/>
      <c r="E3" s="532"/>
      <c r="F3" s="532"/>
    </row>
    <row r="4" spans="1:7" ht="12.75" customHeight="1">
      <c r="A4" s="532" t="s">
        <v>1684</v>
      </c>
      <c r="B4" s="532"/>
      <c r="C4" s="532"/>
      <c r="D4" s="532"/>
      <c r="E4" s="532"/>
      <c r="F4" s="532"/>
    </row>
    <row r="5" spans="1:7" ht="12.75" customHeight="1">
      <c r="A5" s="131"/>
      <c r="B5" s="131"/>
      <c r="C5" s="131"/>
      <c r="D5" s="131"/>
      <c r="E5" s="131"/>
      <c r="F5" s="131"/>
    </row>
    <row r="6" spans="1:7" ht="12.75" customHeight="1">
      <c r="A6" s="131"/>
      <c r="B6" s="131"/>
      <c r="C6" s="131"/>
      <c r="D6" s="131"/>
      <c r="E6" s="131"/>
      <c r="F6" s="131"/>
    </row>
    <row r="7" spans="1:7" ht="12.75" customHeight="1">
      <c r="A7" s="131"/>
      <c r="B7" s="131"/>
      <c r="C7" s="131"/>
      <c r="D7" s="131"/>
      <c r="E7" s="131"/>
      <c r="F7" s="131"/>
    </row>
    <row r="8" spans="1:7" s="211" customFormat="1" ht="12.75" customHeight="1">
      <c r="A8" s="147" t="s">
        <v>24</v>
      </c>
      <c r="B8" s="147"/>
      <c r="C8" s="147"/>
      <c r="D8" s="210" t="s">
        <v>23</v>
      </c>
      <c r="E8" s="147"/>
      <c r="F8" s="147"/>
    </row>
    <row r="9" spans="1:7" s="211" customFormat="1" ht="12.75" customHeight="1">
      <c r="A9" s="147"/>
      <c r="B9" s="147"/>
      <c r="C9" s="147"/>
      <c r="D9" s="212" t="s">
        <v>1723</v>
      </c>
      <c r="E9" s="111" t="s">
        <v>4763</v>
      </c>
      <c r="F9" s="111"/>
    </row>
    <row r="10" spans="1:7" s="211" customFormat="1" ht="12.75" customHeight="1">
      <c r="A10" s="147" t="s">
        <v>3409</v>
      </c>
      <c r="B10" s="147"/>
      <c r="C10" s="147"/>
      <c r="D10" s="212" t="s">
        <v>1340</v>
      </c>
      <c r="E10" s="112" t="s">
        <v>4760</v>
      </c>
      <c r="F10" s="111"/>
    </row>
    <row r="11" spans="1:7" s="211" customFormat="1" ht="12.75" customHeight="1">
      <c r="A11" s="147" t="s">
        <v>3410</v>
      </c>
      <c r="B11" s="147"/>
      <c r="C11" s="147"/>
      <c r="D11" s="212" t="s">
        <v>1341</v>
      </c>
      <c r="E11" s="112" t="s">
        <v>1094</v>
      </c>
      <c r="F11" s="111"/>
    </row>
    <row r="12" spans="1:7" s="211" customFormat="1" ht="12.75" customHeight="1">
      <c r="A12" s="147" t="s">
        <v>3411</v>
      </c>
      <c r="B12" s="147"/>
      <c r="C12" s="147"/>
      <c r="D12" s="212" t="s">
        <v>2136</v>
      </c>
      <c r="E12" s="112" t="s">
        <v>4764</v>
      </c>
      <c r="F12" s="111"/>
    </row>
    <row r="13" spans="1:7" s="211" customFormat="1" ht="12.75" customHeight="1">
      <c r="A13" s="147"/>
      <c r="B13" s="147"/>
      <c r="C13" s="147"/>
      <c r="D13" s="147"/>
      <c r="E13" s="377"/>
      <c r="F13" s="147"/>
    </row>
    <row r="14" spans="1:7" s="211" customFormat="1" ht="12.75" customHeight="1">
      <c r="A14" s="147"/>
      <c r="B14" s="147"/>
      <c r="C14" s="147"/>
      <c r="D14" s="147"/>
      <c r="E14" s="147"/>
      <c r="F14" s="147"/>
    </row>
    <row r="15" spans="1:7" s="213" customFormat="1" ht="12.75" customHeight="1">
      <c r="A15" s="147"/>
      <c r="B15" s="147"/>
      <c r="C15" s="147"/>
      <c r="D15" s="147"/>
      <c r="E15" s="147"/>
      <c r="F15" s="147"/>
    </row>
    <row r="16" spans="1:7" s="213" customFormat="1">
      <c r="A16" s="91" t="s">
        <v>1122</v>
      </c>
      <c r="B16" s="91" t="s">
        <v>1098</v>
      </c>
      <c r="C16" s="92" t="s">
        <v>14</v>
      </c>
      <c r="D16" s="90"/>
      <c r="E16" s="91"/>
      <c r="F16" s="94" t="s">
        <v>13</v>
      </c>
      <c r="G16" s="214"/>
    </row>
    <row r="17" spans="1:7" s="213" customFormat="1" ht="12.75" customHeight="1">
      <c r="A17" s="215"/>
      <c r="B17" s="216"/>
      <c r="C17" s="217"/>
      <c r="D17" s="216"/>
      <c r="E17" s="218"/>
      <c r="F17" s="219"/>
      <c r="G17" s="214"/>
    </row>
    <row r="18" spans="1:7" s="211" customFormat="1" ht="12.75" customHeight="1">
      <c r="A18" s="222" t="s">
        <v>4762</v>
      </c>
      <c r="B18" s="146" t="s">
        <v>4765</v>
      </c>
      <c r="C18" s="147" t="s">
        <v>4766</v>
      </c>
      <c r="D18" s="147"/>
      <c r="E18" s="147"/>
      <c r="F18" s="147">
        <v>1199</v>
      </c>
      <c r="G18" s="221"/>
    </row>
    <row r="19" spans="1:7" s="211" customFormat="1" ht="12.75" customHeight="1">
      <c r="A19" s="220"/>
      <c r="B19" s="145"/>
      <c r="C19" s="147"/>
      <c r="D19" s="147"/>
      <c r="E19" s="147"/>
      <c r="F19" s="147"/>
      <c r="G19" s="221"/>
    </row>
    <row r="20" spans="1:7" s="224" customFormat="1" ht="12.75" customHeight="1">
      <c r="A20" s="281"/>
      <c r="B20" s="281"/>
      <c r="C20" s="147" t="s">
        <v>1814</v>
      </c>
      <c r="D20" s="211"/>
      <c r="E20" s="211"/>
      <c r="F20" s="147">
        <f>F18*6%</f>
        <v>71.94</v>
      </c>
    </row>
    <row r="21" spans="1:7" s="224" customFormat="1" ht="12.75" customHeight="1">
      <c r="A21" s="220"/>
      <c r="B21" s="223"/>
      <c r="C21" s="147"/>
      <c r="D21" s="147"/>
      <c r="E21" s="147"/>
      <c r="F21" s="147"/>
    </row>
    <row r="22" spans="1:7" s="211" customFormat="1" ht="12.75" customHeight="1">
      <c r="A22" s="222"/>
      <c r="B22" s="146"/>
      <c r="C22" s="147"/>
      <c r="D22" s="147"/>
      <c r="E22" s="147"/>
      <c r="F22" s="147"/>
      <c r="G22" s="221"/>
    </row>
    <row r="23" spans="1:7" s="211" customFormat="1" ht="12.75" customHeight="1">
      <c r="A23" s="220"/>
      <c r="B23" s="145"/>
      <c r="C23" s="147"/>
      <c r="D23" s="147"/>
      <c r="E23" s="147"/>
      <c r="F23" s="147"/>
      <c r="G23" s="221"/>
    </row>
    <row r="24" spans="1:7" s="224" customFormat="1" ht="12.75" customHeight="1">
      <c r="A24" s="281"/>
      <c r="B24" s="281"/>
      <c r="C24" s="147"/>
      <c r="D24" s="211"/>
      <c r="E24" s="211"/>
      <c r="F24" s="147"/>
    </row>
    <row r="25" spans="1:7" s="224" customFormat="1" ht="12.75" customHeight="1">
      <c r="A25" s="222"/>
      <c r="B25" s="223"/>
      <c r="C25" s="95"/>
      <c r="F25" s="147"/>
    </row>
    <row r="26" spans="1:7" s="224" customFormat="1" ht="12.75" customHeight="1">
      <c r="A26" s="222"/>
      <c r="B26" s="223"/>
      <c r="F26" s="147"/>
    </row>
    <row r="27" spans="1:7" s="224" customFormat="1" ht="12.75" customHeight="1">
      <c r="A27" s="222"/>
      <c r="B27" s="304"/>
      <c r="C27" s="147"/>
      <c r="F27" s="147"/>
    </row>
    <row r="28" spans="1:7" s="227" customFormat="1" ht="12.75" customHeight="1">
      <c r="A28" s="225"/>
      <c r="B28" s="223"/>
      <c r="C28" s="147"/>
      <c r="D28" s="211"/>
      <c r="E28" s="211"/>
      <c r="F28" s="147"/>
    </row>
    <row r="29" spans="1:7" s="227" customFormat="1" ht="12.75" customHeight="1">
      <c r="A29" s="222"/>
      <c r="B29" s="223"/>
      <c r="C29" s="147"/>
      <c r="D29" s="224"/>
      <c r="E29" s="224"/>
      <c r="F29" s="147"/>
    </row>
    <row r="30" spans="1:7" ht="12.75" customHeight="1">
      <c r="A30" s="222"/>
      <c r="B30" s="145"/>
      <c r="C30" s="147"/>
      <c r="D30" s="131"/>
      <c r="E30" s="131"/>
      <c r="F30" s="131"/>
    </row>
    <row r="31" spans="1:7" s="211" customFormat="1" ht="12.75" customHeight="1">
      <c r="A31" s="228"/>
      <c r="B31" s="228"/>
      <c r="C31" s="147"/>
      <c r="D31" s="131"/>
      <c r="E31" s="131"/>
      <c r="F31" s="131"/>
      <c r="G31" s="221"/>
    </row>
    <row r="32" spans="1:7" s="211" customFormat="1" ht="12.75" customHeight="1">
      <c r="A32" s="222"/>
      <c r="B32" s="145"/>
      <c r="C32" s="147"/>
      <c r="D32" s="147"/>
      <c r="E32" s="147"/>
      <c r="F32" s="147"/>
      <c r="G32" s="221"/>
    </row>
    <row r="33" spans="1:7" s="211" customFormat="1" ht="12.75" customHeight="1">
      <c r="A33" s="225"/>
      <c r="B33" s="145"/>
      <c r="C33" s="147"/>
      <c r="D33" s="147"/>
      <c r="E33" s="147"/>
      <c r="F33" s="147"/>
      <c r="G33" s="221"/>
    </row>
    <row r="34" spans="1:7" s="211" customFormat="1" ht="15.75" customHeight="1" thickBot="1">
      <c r="A34" s="229"/>
      <c r="B34" s="224"/>
      <c r="C34" s="224"/>
      <c r="D34" s="224"/>
      <c r="E34" s="224"/>
      <c r="F34" s="230">
        <f>SUM(F18:F33)</f>
        <v>1270.94</v>
      </c>
      <c r="G34" s="221"/>
    </row>
    <row r="35" spans="1:7" s="211" customFormat="1" ht="12.75" customHeight="1" thickTop="1">
      <c r="A35" s="229"/>
      <c r="B35" s="224"/>
      <c r="C35" s="224"/>
      <c r="D35" s="224"/>
      <c r="E35" s="224"/>
      <c r="F35" s="224"/>
      <c r="G35" s="221"/>
    </row>
    <row r="36" spans="1:7" ht="20.100000000000001" customHeight="1">
      <c r="A36" s="138" t="s">
        <v>1133</v>
      </c>
      <c r="B36" s="204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Two Hundred Seventy and 94/100 -----------</v>
      </c>
      <c r="C36" s="231"/>
      <c r="D36" s="231"/>
      <c r="E36" s="231"/>
      <c r="F36" s="231"/>
    </row>
    <row r="37" spans="1:7" ht="12.75" customHeight="1">
      <c r="A37" s="232"/>
    </row>
    <row r="38" spans="1:7" ht="27" customHeight="1">
      <c r="A38" s="131" t="s">
        <v>10</v>
      </c>
      <c r="B38" s="131"/>
      <c r="C38" s="131"/>
      <c r="D38" s="283" t="s">
        <v>2894</v>
      </c>
      <c r="E38" s="284"/>
      <c r="F38" s="285"/>
    </row>
    <row r="39" spans="1:7" ht="12.75" customHeight="1">
      <c r="A39" s="131"/>
      <c r="B39" s="131"/>
      <c r="C39" s="131"/>
      <c r="D39" s="131"/>
      <c r="E39" s="131"/>
      <c r="F39" s="131"/>
    </row>
    <row r="40" spans="1:7" ht="12.75" customHeight="1">
      <c r="A40" s="131"/>
      <c r="B40" s="131"/>
      <c r="C40" s="131"/>
      <c r="D40" s="131"/>
      <c r="E40" s="131"/>
      <c r="F40" s="131"/>
    </row>
    <row r="41" spans="1:7">
      <c r="A41" s="301"/>
      <c r="B41" s="131"/>
      <c r="C41" s="131"/>
      <c r="D41" s="291"/>
      <c r="E41" s="291"/>
      <c r="F41" s="291"/>
    </row>
    <row r="42" spans="1:7">
      <c r="A42" s="248"/>
      <c r="B42" s="142"/>
      <c r="C42" s="131"/>
      <c r="D42" s="286"/>
      <c r="E42" s="287"/>
      <c r="F42" s="287"/>
    </row>
    <row r="43" spans="1:7" ht="12.75" customHeight="1">
      <c r="A43" s="301"/>
      <c r="B43" s="301"/>
      <c r="C43" s="131"/>
      <c r="D43" s="131"/>
      <c r="E43" s="131"/>
      <c r="F43" s="144"/>
    </row>
    <row r="44" spans="1:7" ht="12.75" customHeight="1">
      <c r="A44" s="301"/>
      <c r="B44" s="301"/>
      <c r="C44" s="131"/>
      <c r="D44" s="131"/>
      <c r="E44" s="131"/>
      <c r="F44" s="144"/>
    </row>
    <row r="45" spans="1:7" ht="12.75" customHeight="1">
      <c r="A45" s="143" t="s">
        <v>8</v>
      </c>
      <c r="B45" s="131"/>
      <c r="C45" s="131"/>
      <c r="D45" s="131"/>
      <c r="E45" s="131"/>
      <c r="F45" s="131"/>
    </row>
    <row r="46" spans="1:7" ht="12.75" customHeight="1">
      <c r="A46" s="301"/>
      <c r="B46" s="131"/>
      <c r="C46" s="131"/>
      <c r="D46" s="143" t="s">
        <v>7</v>
      </c>
      <c r="E46" s="131"/>
      <c r="F46" s="131"/>
    </row>
    <row r="47" spans="1:7" ht="12.75" customHeight="1">
      <c r="A47" s="143"/>
      <c r="B47" s="131"/>
      <c r="C47" s="131"/>
      <c r="D47" s="131"/>
      <c r="E47" s="131"/>
      <c r="F47" s="131"/>
    </row>
    <row r="48" spans="1:7" ht="12.75" customHeight="1">
      <c r="A48" s="143"/>
      <c r="B48" s="131"/>
      <c r="C48" s="131"/>
      <c r="D48" s="131"/>
      <c r="E48" s="131"/>
      <c r="F48" s="131"/>
    </row>
    <row r="49" spans="1:6" s="211" customFormat="1" ht="12.75" customHeight="1">
      <c r="A49" s="143"/>
      <c r="B49" s="131"/>
      <c r="C49" s="131"/>
      <c r="D49" s="131"/>
      <c r="E49" s="147"/>
      <c r="F49" s="147"/>
    </row>
    <row r="50" spans="1:6" ht="12.75" customHeight="1">
      <c r="A50" s="248"/>
      <c r="B50" s="142"/>
      <c r="C50" s="131"/>
      <c r="D50" s="142"/>
      <c r="E50" s="142"/>
      <c r="F50" s="142"/>
    </row>
    <row r="51" spans="1:6" ht="15" customHeight="1">
      <c r="A51" s="143" t="s">
        <v>2948</v>
      </c>
      <c r="B51" s="146"/>
      <c r="C51" s="147"/>
      <c r="D51" s="147" t="s">
        <v>3</v>
      </c>
      <c r="E51" s="131"/>
      <c r="F51" s="131"/>
    </row>
    <row r="52" spans="1:6" ht="12.75" customHeight="1">
      <c r="A52" s="143"/>
      <c r="B52" s="131"/>
      <c r="C52" s="131"/>
      <c r="D52" s="131" t="s">
        <v>2</v>
      </c>
      <c r="E52" s="131"/>
      <c r="F52" s="131"/>
    </row>
    <row r="53" spans="1:6" ht="12.75" customHeight="1">
      <c r="A53" s="131"/>
      <c r="B53" s="131"/>
      <c r="C53" s="131"/>
      <c r="D53" s="131"/>
      <c r="E53" s="131"/>
      <c r="F53" s="131"/>
    </row>
    <row r="54" spans="1:6" ht="12.75" customHeight="1">
      <c r="A54" s="131"/>
      <c r="B54" s="131"/>
      <c r="C54" s="131"/>
      <c r="D54" s="110" t="s">
        <v>1</v>
      </c>
      <c r="E54" s="131"/>
      <c r="F54" s="131"/>
    </row>
    <row r="55" spans="1:6" ht="12.75" customHeight="1">
      <c r="A55" s="131"/>
      <c r="B55" s="131"/>
      <c r="C55" s="131"/>
      <c r="D55" s="110" t="s">
        <v>0</v>
      </c>
      <c r="E55" s="131"/>
      <c r="F55" s="131"/>
    </row>
    <row r="56" spans="1:6" ht="12.75" customHeight="1">
      <c r="A56" s="131"/>
      <c r="B56" s="131"/>
      <c r="C56" s="131"/>
      <c r="D56" s="131"/>
      <c r="E56" s="131"/>
      <c r="F56" s="131"/>
    </row>
    <row r="57" spans="1:6" ht="12.75" customHeight="1">
      <c r="A57" s="131"/>
      <c r="B57" s="131"/>
      <c r="C57" s="131"/>
      <c r="D57" s="131"/>
      <c r="E57" s="131"/>
      <c r="F57" s="131"/>
    </row>
    <row r="58" spans="1:6">
      <c r="A58" s="131"/>
      <c r="B58" s="131"/>
      <c r="C58" s="131"/>
      <c r="D58" s="131"/>
      <c r="E58" s="131"/>
      <c r="F58" s="131"/>
    </row>
    <row r="59" spans="1:6">
      <c r="A59" s="131"/>
      <c r="B59" s="131"/>
      <c r="C59" s="131"/>
      <c r="D59" s="131"/>
      <c r="E59" s="131"/>
      <c r="F59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3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1-000000000000}">
  <sheetPr codeName="Sheet351"/>
  <dimension ref="A1:I58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7.85546875" style="227" customWidth="1"/>
    <col min="3" max="3" width="0.7109375" style="227" customWidth="1"/>
    <col min="4" max="4" width="19.85546875" style="227" customWidth="1"/>
    <col min="5" max="5" width="0.7109375" style="227" customWidth="1"/>
    <col min="6" max="6" width="14.7109375" style="227" customWidth="1"/>
    <col min="7" max="7" width="8.140625" style="227" customWidth="1"/>
    <col min="8" max="8" width="13.28515625" style="227" customWidth="1"/>
    <col min="9" max="9" width="16.140625" style="209" customWidth="1"/>
    <col min="10" max="16384" width="9.140625" style="209"/>
  </cols>
  <sheetData>
    <row r="1" spans="1:9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9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9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9" ht="12.75" customHeight="1">
      <c r="A4" s="532" t="s">
        <v>1684</v>
      </c>
      <c r="B4" s="532"/>
      <c r="C4" s="532"/>
      <c r="D4" s="532"/>
      <c r="E4" s="532"/>
      <c r="F4" s="532"/>
      <c r="G4" s="532"/>
      <c r="H4" s="532"/>
    </row>
    <row r="5" spans="1:9" ht="12.75" customHeight="1">
      <c r="A5" s="131"/>
      <c r="B5" s="131"/>
      <c r="C5" s="131"/>
      <c r="D5" s="131"/>
      <c r="E5" s="131"/>
      <c r="F5" s="131"/>
      <c r="G5" s="131"/>
      <c r="H5" s="131"/>
    </row>
    <row r="6" spans="1:9" ht="12.75" customHeight="1">
      <c r="A6" s="131"/>
      <c r="B6" s="131"/>
      <c r="C6" s="131"/>
      <c r="D6" s="131"/>
      <c r="E6" s="131"/>
      <c r="F6" s="131"/>
      <c r="G6" s="131"/>
      <c r="H6" s="131"/>
    </row>
    <row r="7" spans="1:9" ht="12.75" customHeight="1">
      <c r="A7" s="131"/>
      <c r="B7" s="131"/>
      <c r="C7" s="131"/>
      <c r="D7" s="131"/>
      <c r="E7" s="131"/>
      <c r="F7" s="131"/>
      <c r="G7" s="131"/>
      <c r="H7" s="131"/>
    </row>
    <row r="8" spans="1:9" s="211" customFormat="1" ht="12.75" customHeight="1">
      <c r="A8" s="147" t="s">
        <v>24</v>
      </c>
      <c r="B8" s="147"/>
      <c r="C8" s="147"/>
      <c r="D8" s="147"/>
      <c r="E8" s="147"/>
      <c r="F8" s="210" t="s">
        <v>23</v>
      </c>
      <c r="G8" s="147"/>
      <c r="H8" s="147"/>
    </row>
    <row r="9" spans="1:9" s="211" customFormat="1" ht="12.75" customHeight="1">
      <c r="A9" s="147"/>
      <c r="B9" s="147"/>
      <c r="C9" s="147"/>
      <c r="D9" s="147"/>
      <c r="E9" s="147"/>
      <c r="F9" s="212" t="s">
        <v>1723</v>
      </c>
      <c r="G9" s="489" t="s">
        <v>6313</v>
      </c>
      <c r="H9" s="488"/>
    </row>
    <row r="10" spans="1:9" s="211" customFormat="1" ht="12.75" customHeight="1">
      <c r="A10" s="147" t="s">
        <v>4691</v>
      </c>
      <c r="B10" s="147"/>
      <c r="C10" s="147"/>
      <c r="D10" s="147"/>
      <c r="E10" s="147"/>
      <c r="F10" s="212" t="s">
        <v>1340</v>
      </c>
      <c r="G10" s="489" t="s">
        <v>6310</v>
      </c>
      <c r="H10" s="488"/>
    </row>
    <row r="11" spans="1:9" s="211" customFormat="1" ht="12.75" customHeight="1">
      <c r="A11" s="147" t="s">
        <v>3392</v>
      </c>
      <c r="B11" s="147"/>
      <c r="C11" s="147"/>
      <c r="D11" s="147"/>
      <c r="E11" s="147"/>
      <c r="F11" s="212" t="s">
        <v>1341</v>
      </c>
      <c r="G11" s="489" t="s">
        <v>1094</v>
      </c>
      <c r="H11" s="488"/>
    </row>
    <row r="12" spans="1:9" s="211" customFormat="1" ht="12.75" customHeight="1">
      <c r="A12" s="147"/>
      <c r="B12" s="147"/>
      <c r="C12" s="147"/>
      <c r="D12" s="147"/>
      <c r="E12" s="147"/>
      <c r="F12" s="212" t="s">
        <v>2136</v>
      </c>
      <c r="G12" s="483" t="s">
        <v>6314</v>
      </c>
      <c r="H12" s="488"/>
    </row>
    <row r="13" spans="1:9" s="211" customFormat="1" ht="12.75" customHeight="1">
      <c r="A13" s="147"/>
      <c r="B13" s="147"/>
      <c r="C13" s="147"/>
      <c r="D13" s="147"/>
      <c r="E13" s="147"/>
      <c r="F13" s="147"/>
      <c r="G13" s="483" t="s">
        <v>6311</v>
      </c>
      <c r="H13" s="488"/>
    </row>
    <row r="14" spans="1:9" s="211" customFormat="1" ht="12.75" customHeight="1">
      <c r="A14" s="147"/>
      <c r="B14" s="147"/>
      <c r="C14" s="147"/>
      <c r="D14" s="147"/>
      <c r="E14" s="147"/>
      <c r="F14" s="147"/>
      <c r="G14" s="147"/>
      <c r="H14" s="147"/>
    </row>
    <row r="15" spans="1:9" s="213" customFormat="1" ht="12.75" customHeight="1">
      <c r="A15" s="147"/>
      <c r="B15" s="147"/>
      <c r="C15" s="147"/>
      <c r="D15" s="147"/>
      <c r="E15" s="147"/>
      <c r="F15" s="147"/>
      <c r="G15" s="147"/>
      <c r="H15" s="147"/>
    </row>
    <row r="16" spans="1:9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I16" s="214"/>
    </row>
    <row r="17" spans="1:9" s="213" customFormat="1" ht="12.75" customHeight="1">
      <c r="A17" s="215"/>
      <c r="B17" s="216"/>
      <c r="C17" s="216"/>
      <c r="D17" s="217"/>
      <c r="E17" s="217"/>
      <c r="F17" s="216"/>
      <c r="G17" s="218"/>
      <c r="H17" s="219"/>
      <c r="I17" s="214"/>
    </row>
    <row r="18" spans="1:9" s="211" customFormat="1" ht="12.75" customHeight="1">
      <c r="A18" s="220"/>
      <c r="B18" s="145"/>
      <c r="C18" s="145"/>
      <c r="D18" s="95" t="s">
        <v>3100</v>
      </c>
      <c r="E18" s="95"/>
      <c r="F18" s="147"/>
      <c r="G18" s="147"/>
      <c r="H18" s="147"/>
      <c r="I18" s="221"/>
    </row>
    <row r="19" spans="1:9" s="211" customFormat="1" ht="12.75" customHeight="1">
      <c r="A19" s="220"/>
      <c r="B19" s="145"/>
      <c r="C19" s="145"/>
      <c r="D19" s="95"/>
      <c r="E19" s="95"/>
      <c r="F19" s="147"/>
      <c r="G19" s="147"/>
      <c r="H19" s="147"/>
      <c r="I19" s="221"/>
    </row>
    <row r="20" spans="1:9" s="224" customFormat="1" ht="12.75" customHeight="1">
      <c r="A20" s="495" t="s">
        <v>6312</v>
      </c>
      <c r="B20" s="303"/>
      <c r="C20" s="303"/>
      <c r="D20" s="147" t="s">
        <v>6315</v>
      </c>
      <c r="E20" s="147"/>
      <c r="H20" s="147">
        <v>1000</v>
      </c>
    </row>
    <row r="21" spans="1:9" s="224" customFormat="1" ht="12.75" customHeight="1">
      <c r="D21" s="490" t="s">
        <v>6316</v>
      </c>
      <c r="E21" s="147"/>
      <c r="H21" s="147">
        <v>1000</v>
      </c>
    </row>
    <row r="22" spans="1:9" s="211" customFormat="1" ht="12.75" customHeight="1">
      <c r="A22" s="222"/>
      <c r="B22" s="303"/>
      <c r="C22" s="303"/>
      <c r="D22" s="490" t="s">
        <v>6317</v>
      </c>
      <c r="E22" s="147"/>
      <c r="F22" s="224"/>
      <c r="G22" s="224"/>
      <c r="H22" s="147">
        <v>1000</v>
      </c>
      <c r="I22" s="221"/>
    </row>
    <row r="23" spans="1:9" s="211" customFormat="1" ht="12.75" customHeight="1">
      <c r="A23" s="222"/>
      <c r="D23" s="147"/>
      <c r="E23" s="147"/>
      <c r="H23" s="147"/>
      <c r="I23" s="221"/>
    </row>
    <row r="24" spans="1:9" s="224" customFormat="1" ht="12.75" customHeight="1">
      <c r="D24" s="147"/>
      <c r="E24" s="147"/>
      <c r="H24" s="147"/>
    </row>
    <row r="25" spans="1:9" s="224" customFormat="1" ht="12.75" customHeight="1">
      <c r="A25" s="222"/>
      <c r="B25" s="223"/>
      <c r="C25" s="223"/>
      <c r="D25" s="147"/>
      <c r="E25" s="147"/>
      <c r="H25" s="147"/>
    </row>
    <row r="26" spans="1:9" s="224" customFormat="1" ht="12.75" customHeight="1">
      <c r="A26" s="222"/>
      <c r="B26" s="223"/>
      <c r="C26" s="223"/>
      <c r="D26" s="147"/>
      <c r="E26" s="147"/>
      <c r="H26" s="147"/>
    </row>
    <row r="27" spans="1:9" s="224" customFormat="1" ht="12.75" customHeight="1">
      <c r="A27" s="222"/>
      <c r="B27" s="223"/>
      <c r="C27" s="223"/>
      <c r="H27" s="147"/>
    </row>
    <row r="28" spans="1:9" s="224" customFormat="1" ht="12.75" customHeight="1">
      <c r="A28" s="222"/>
      <c r="B28" s="303"/>
      <c r="C28" s="303"/>
      <c r="D28" s="147"/>
      <c r="E28" s="147"/>
      <c r="H28" s="147"/>
    </row>
    <row r="29" spans="1:9" s="224" customFormat="1" ht="12.75" customHeight="1">
      <c r="A29" s="222"/>
      <c r="B29" s="223"/>
      <c r="C29" s="223"/>
      <c r="D29" s="147"/>
      <c r="E29" s="147"/>
      <c r="H29" s="147"/>
    </row>
    <row r="30" spans="1:9" s="227" customFormat="1" ht="12.75" customHeight="1">
      <c r="A30" s="225"/>
      <c r="B30" s="223"/>
      <c r="C30" s="223"/>
      <c r="D30" s="147"/>
      <c r="E30" s="147"/>
      <c r="F30" s="147"/>
      <c r="G30" s="147"/>
      <c r="H30" s="147"/>
    </row>
    <row r="31" spans="1:9" s="227" customFormat="1" ht="12.75" customHeight="1">
      <c r="A31" s="222"/>
      <c r="B31" s="223"/>
      <c r="C31" s="223"/>
      <c r="D31" s="147"/>
      <c r="E31" s="147"/>
      <c r="F31" s="224"/>
      <c r="G31" s="224"/>
      <c r="H31" s="147"/>
    </row>
    <row r="32" spans="1:9" ht="12.75" customHeight="1">
      <c r="A32" s="222"/>
      <c r="B32" s="145"/>
      <c r="C32" s="145"/>
      <c r="D32" s="147"/>
      <c r="E32" s="147"/>
      <c r="F32" s="131"/>
      <c r="G32" s="131"/>
      <c r="H32" s="131"/>
    </row>
    <row r="33" spans="1:9" s="211" customFormat="1" ht="12.75" customHeight="1">
      <c r="A33" s="225"/>
      <c r="B33" s="145"/>
      <c r="C33" s="145"/>
      <c r="D33" s="147"/>
      <c r="E33" s="147"/>
      <c r="F33" s="147"/>
      <c r="G33" s="147"/>
      <c r="H33" s="147"/>
      <c r="I33" s="221"/>
    </row>
    <row r="34" spans="1:9" s="211" customFormat="1" ht="15.75" customHeight="1" thickBot="1">
      <c r="A34" s="229"/>
      <c r="B34" s="224"/>
      <c r="C34" s="224"/>
      <c r="D34" s="224"/>
      <c r="E34" s="224"/>
      <c r="F34" s="224"/>
      <c r="G34" s="224"/>
      <c r="H34" s="230">
        <f>SUM(H18:H33)</f>
        <v>3000</v>
      </c>
      <c r="I34" s="221"/>
    </row>
    <row r="35" spans="1:9" s="211" customFormat="1" ht="12.75" customHeight="1" thickTop="1">
      <c r="A35" s="229"/>
      <c r="B35" s="224"/>
      <c r="C35" s="224"/>
      <c r="D35" s="224"/>
      <c r="E35" s="224"/>
      <c r="F35" s="224"/>
      <c r="G35" s="224"/>
      <c r="H35" s="224"/>
      <c r="I35" s="221"/>
    </row>
    <row r="36" spans="1:9" ht="20.100000000000001" customHeight="1">
      <c r="A36" s="138" t="s">
        <v>1133</v>
      </c>
      <c r="B36" s="204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Thousand and NO/100 -----------</v>
      </c>
      <c r="C36" s="204"/>
      <c r="D36" s="231"/>
      <c r="E36" s="231"/>
      <c r="F36" s="231"/>
      <c r="G36" s="231"/>
      <c r="H36" s="231"/>
    </row>
    <row r="37" spans="1:9" ht="12.75" customHeight="1">
      <c r="A37" s="232"/>
    </row>
    <row r="38" spans="1:9" ht="27" customHeight="1">
      <c r="A38" s="131" t="s">
        <v>10</v>
      </c>
      <c r="B38" s="131"/>
      <c r="C38" s="131"/>
      <c r="D38" s="131"/>
      <c r="E38" s="131"/>
      <c r="F38" s="283" t="s">
        <v>2894</v>
      </c>
      <c r="G38" s="284"/>
      <c r="H38" s="285"/>
    </row>
    <row r="39" spans="1:9" ht="12.75" customHeight="1">
      <c r="A39" s="131"/>
      <c r="B39" s="131"/>
      <c r="C39" s="131"/>
      <c r="D39" s="131"/>
      <c r="E39" s="131"/>
      <c r="F39" s="131"/>
      <c r="G39" s="131"/>
      <c r="H39" s="131"/>
    </row>
    <row r="40" spans="1:9" ht="12.75" customHeight="1">
      <c r="A40" s="131"/>
      <c r="B40" s="131"/>
      <c r="C40" s="131"/>
      <c r="D40" s="131"/>
      <c r="E40" s="131"/>
      <c r="F40" s="131"/>
      <c r="G40" s="131"/>
      <c r="H40" s="131"/>
    </row>
    <row r="41" spans="1:9">
      <c r="A41" s="301"/>
      <c r="B41" s="131"/>
      <c r="C41" s="131"/>
      <c r="D41" s="131"/>
      <c r="E41" s="131"/>
      <c r="F41" s="291"/>
      <c r="G41" s="291"/>
      <c r="H41" s="291"/>
    </row>
    <row r="42" spans="1:9">
      <c r="A42" s="248"/>
      <c r="B42" s="142"/>
      <c r="C42" s="445"/>
      <c r="D42" s="131"/>
      <c r="E42" s="131"/>
      <c r="F42" s="286"/>
      <c r="G42" s="287"/>
      <c r="H42" s="287"/>
    </row>
    <row r="43" spans="1:9" ht="12.75" customHeight="1">
      <c r="A43" s="301"/>
      <c r="B43" s="301"/>
      <c r="C43" s="301"/>
      <c r="D43" s="131"/>
      <c r="E43" s="131"/>
      <c r="F43" s="131"/>
      <c r="G43" s="131"/>
      <c r="H43" s="144"/>
    </row>
    <row r="44" spans="1:9" ht="12.75" customHeight="1">
      <c r="A44" s="143" t="s">
        <v>8</v>
      </c>
      <c r="B44" s="131"/>
      <c r="C44" s="131"/>
      <c r="D44" s="143" t="s">
        <v>8</v>
      </c>
      <c r="E44" s="131"/>
      <c r="F44" s="143" t="s">
        <v>7</v>
      </c>
      <c r="G44" s="131"/>
      <c r="H44" s="131"/>
    </row>
    <row r="45" spans="1:9" ht="12.75" customHeight="1">
      <c r="A45" s="301"/>
      <c r="B45" s="131"/>
      <c r="C45" s="131"/>
      <c r="D45" s="301"/>
      <c r="E45" s="131"/>
      <c r="G45" s="131"/>
      <c r="H45" s="131"/>
    </row>
    <row r="46" spans="1:9" ht="12.75" customHeight="1">
      <c r="A46" s="143"/>
      <c r="B46" s="131"/>
      <c r="C46" s="131"/>
      <c r="D46" s="143"/>
      <c r="E46" s="131"/>
      <c r="F46" s="131"/>
      <c r="G46" s="131"/>
      <c r="H46" s="131"/>
    </row>
    <row r="47" spans="1:9" ht="12.75" customHeight="1">
      <c r="A47" s="143"/>
      <c r="B47" s="131"/>
      <c r="C47" s="131"/>
      <c r="D47" s="143"/>
      <c r="E47" s="131"/>
      <c r="F47" s="131"/>
      <c r="G47" s="131"/>
      <c r="H47" s="131"/>
    </row>
    <row r="48" spans="1:9" s="211" customFormat="1" ht="12.75" customHeight="1">
      <c r="A48" s="143"/>
      <c r="B48" s="131"/>
      <c r="C48" s="131"/>
      <c r="D48" s="143"/>
      <c r="E48" s="131"/>
      <c r="F48" s="131"/>
      <c r="G48" s="147"/>
      <c r="H48" s="147"/>
    </row>
    <row r="49" spans="1:8" ht="12.75" customHeight="1">
      <c r="A49" s="248"/>
      <c r="B49" s="142"/>
      <c r="C49" s="445"/>
      <c r="D49" s="248"/>
      <c r="E49" s="131"/>
      <c r="F49" s="142"/>
      <c r="G49" s="142"/>
      <c r="H49" s="142"/>
    </row>
    <row r="50" spans="1:8">
      <c r="A50" s="143" t="s">
        <v>2948</v>
      </c>
      <c r="B50" s="146"/>
      <c r="C50" s="146"/>
      <c r="D50" s="143" t="s">
        <v>103</v>
      </c>
      <c r="E50" s="147"/>
      <c r="F50" s="147" t="s">
        <v>3</v>
      </c>
      <c r="G50" s="131"/>
      <c r="H50" s="131"/>
    </row>
    <row r="51" spans="1:8">
      <c r="A51" s="143"/>
      <c r="B51" s="131"/>
      <c r="C51" s="131"/>
      <c r="D51" s="131"/>
      <c r="E51" s="131"/>
      <c r="F51" s="131" t="s">
        <v>2</v>
      </c>
      <c r="G51" s="131"/>
      <c r="H51" s="131"/>
    </row>
    <row r="52" spans="1:8" ht="12.75" customHeight="1">
      <c r="A52" s="131"/>
      <c r="B52" s="131"/>
      <c r="C52" s="131"/>
      <c r="D52" s="131"/>
      <c r="E52" s="131"/>
      <c r="F52" s="131"/>
      <c r="G52" s="131"/>
      <c r="H52" s="131"/>
    </row>
    <row r="53" spans="1:8">
      <c r="A53" s="131"/>
      <c r="B53" s="131"/>
      <c r="C53" s="131"/>
      <c r="D53" s="131"/>
      <c r="E53" s="131"/>
      <c r="F53" s="110" t="s">
        <v>1</v>
      </c>
      <c r="G53" s="131"/>
      <c r="H53" s="131"/>
    </row>
    <row r="54" spans="1:8">
      <c r="A54" s="131"/>
      <c r="B54" s="131"/>
      <c r="C54" s="131"/>
      <c r="D54" s="131"/>
      <c r="E54" s="131"/>
      <c r="F54" s="110" t="s">
        <v>0</v>
      </c>
      <c r="G54" s="131"/>
      <c r="H54" s="131"/>
    </row>
    <row r="55" spans="1:8" ht="12.75" customHeight="1">
      <c r="A55" s="131"/>
      <c r="B55" s="131"/>
      <c r="C55" s="131"/>
      <c r="D55" s="131"/>
      <c r="E55" s="131"/>
      <c r="F55" s="131"/>
      <c r="G55" s="131"/>
      <c r="H55" s="131"/>
    </row>
    <row r="56" spans="1:8" ht="12.75" customHeight="1">
      <c r="A56" s="131"/>
      <c r="B56" s="131"/>
      <c r="C56" s="131"/>
      <c r="D56" s="131"/>
      <c r="E56" s="131"/>
      <c r="F56" s="131"/>
      <c r="G56" s="131"/>
      <c r="H56" s="131"/>
    </row>
    <row r="57" spans="1:8">
      <c r="A57" s="131"/>
      <c r="B57" s="131"/>
      <c r="C57" s="131"/>
      <c r="D57" s="131"/>
      <c r="E57" s="131"/>
      <c r="F57" s="131"/>
      <c r="G57" s="131"/>
      <c r="H57" s="131"/>
    </row>
    <row r="58" spans="1:8">
      <c r="A58" s="131"/>
      <c r="B58" s="131"/>
      <c r="C58" s="131"/>
      <c r="D58" s="131"/>
      <c r="E58" s="131"/>
      <c r="F58" s="131"/>
      <c r="G58" s="131"/>
      <c r="H58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3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1-000000000000}">
  <sheetPr codeName="Sheet352">
    <pageSetUpPr fitToPage="1"/>
  </sheetPr>
  <dimension ref="A1:G60"/>
  <sheetViews>
    <sheetView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7.85546875" style="227" customWidth="1"/>
    <col min="3" max="3" width="19.85546875" style="227" customWidth="1"/>
    <col min="4" max="4" width="16.42578125" style="227" customWidth="1"/>
    <col min="5" max="5" width="8.140625" style="227" customWidth="1"/>
    <col min="6" max="6" width="13.28515625" style="227" customWidth="1"/>
    <col min="7" max="7" width="16.140625" style="209" customWidth="1"/>
    <col min="8" max="16384" width="9.140625" style="209"/>
  </cols>
  <sheetData>
    <row r="1" spans="1:7" ht="15" customHeight="1">
      <c r="A1" s="531" t="s">
        <v>26</v>
      </c>
      <c r="B1" s="531"/>
      <c r="C1" s="531"/>
      <c r="D1" s="531"/>
      <c r="E1" s="531"/>
      <c r="F1" s="531"/>
    </row>
    <row r="2" spans="1:7" ht="12.75" customHeight="1">
      <c r="A2" s="532" t="s">
        <v>25</v>
      </c>
      <c r="B2" s="532"/>
      <c r="C2" s="532"/>
      <c r="D2" s="532"/>
      <c r="E2" s="532"/>
      <c r="F2" s="532"/>
    </row>
    <row r="3" spans="1:7" ht="12.75" customHeight="1">
      <c r="A3" s="532" t="s">
        <v>1480</v>
      </c>
      <c r="B3" s="532"/>
      <c r="C3" s="532"/>
      <c r="D3" s="532"/>
      <c r="E3" s="532"/>
      <c r="F3" s="532"/>
    </row>
    <row r="4" spans="1:7" ht="12.75" customHeight="1">
      <c r="A4" s="532" t="s">
        <v>1684</v>
      </c>
      <c r="B4" s="532"/>
      <c r="C4" s="532"/>
      <c r="D4" s="532"/>
      <c r="E4" s="532"/>
      <c r="F4" s="532"/>
    </row>
    <row r="5" spans="1:7" ht="12.75" customHeight="1">
      <c r="A5" s="131"/>
      <c r="B5" s="131"/>
      <c r="C5" s="131"/>
      <c r="D5" s="131"/>
      <c r="E5" s="131"/>
      <c r="F5" s="131"/>
    </row>
    <row r="6" spans="1:7" ht="12.75" customHeight="1">
      <c r="A6" s="131"/>
      <c r="B6" s="131"/>
      <c r="C6" s="131"/>
      <c r="D6" s="131"/>
      <c r="E6" s="131"/>
      <c r="F6" s="131"/>
    </row>
    <row r="7" spans="1:7" ht="12.75" customHeight="1">
      <c r="A7" s="131"/>
      <c r="B7" s="131"/>
      <c r="C7" s="131"/>
      <c r="D7" s="131"/>
      <c r="E7" s="131"/>
      <c r="F7" s="131"/>
    </row>
    <row r="8" spans="1:7" s="211" customFormat="1" ht="12.75" customHeight="1">
      <c r="A8" s="147" t="s">
        <v>24</v>
      </c>
      <c r="B8" s="147"/>
      <c r="C8" s="147"/>
      <c r="D8" s="210" t="s">
        <v>23</v>
      </c>
      <c r="E8" s="147"/>
      <c r="F8" s="147"/>
    </row>
    <row r="9" spans="1:7" s="211" customFormat="1" ht="12.75" customHeight="1">
      <c r="A9" s="147"/>
      <c r="B9" s="147"/>
      <c r="C9" s="147"/>
      <c r="D9" s="212" t="s">
        <v>1723</v>
      </c>
      <c r="E9" s="131" t="s">
        <v>3380</v>
      </c>
      <c r="F9" s="131"/>
    </row>
    <row r="10" spans="1:7" s="211" customFormat="1" ht="12.75" customHeight="1">
      <c r="A10" s="147" t="s">
        <v>3382</v>
      </c>
      <c r="B10" s="147"/>
      <c r="C10" s="147"/>
      <c r="D10" s="212" t="s">
        <v>1340</v>
      </c>
      <c r="E10" s="132" t="s">
        <v>3379</v>
      </c>
      <c r="F10" s="131"/>
    </row>
    <row r="11" spans="1:7" s="211" customFormat="1" ht="12.75" customHeight="1">
      <c r="A11" s="147" t="s">
        <v>3383</v>
      </c>
      <c r="B11" s="147"/>
      <c r="C11" s="147"/>
      <c r="D11" s="212" t="s">
        <v>1341</v>
      </c>
      <c r="E11" s="132" t="s">
        <v>1094</v>
      </c>
      <c r="F11" s="131"/>
    </row>
    <row r="12" spans="1:7" s="211" customFormat="1" ht="12.75" customHeight="1">
      <c r="A12" s="147" t="s">
        <v>3384</v>
      </c>
      <c r="B12" s="147"/>
      <c r="C12" s="147"/>
      <c r="D12" s="212" t="s">
        <v>2136</v>
      </c>
      <c r="E12" s="132" t="s">
        <v>3381</v>
      </c>
      <c r="F12" s="131"/>
    </row>
    <row r="13" spans="1:7" s="211" customFormat="1" ht="12.75" customHeight="1">
      <c r="A13" s="147" t="s">
        <v>3385</v>
      </c>
      <c r="B13" s="147"/>
      <c r="C13" s="147"/>
      <c r="D13" s="147"/>
      <c r="E13" s="131"/>
      <c r="F13" s="147"/>
    </row>
    <row r="14" spans="1:7" s="211" customFormat="1" ht="12.75" customHeight="1">
      <c r="A14" s="147" t="s">
        <v>3386</v>
      </c>
      <c r="B14" s="147"/>
      <c r="C14" s="147"/>
      <c r="D14" s="147"/>
      <c r="E14" s="147"/>
      <c r="F14" s="147"/>
    </row>
    <row r="15" spans="1:7" s="213" customFormat="1" ht="12.75" customHeight="1">
      <c r="A15" s="147"/>
      <c r="B15" s="147"/>
      <c r="C15" s="147"/>
      <c r="D15" s="147"/>
      <c r="E15" s="147"/>
      <c r="F15" s="147"/>
    </row>
    <row r="16" spans="1:7" s="213" customFormat="1">
      <c r="A16" s="91" t="s">
        <v>1122</v>
      </c>
      <c r="B16" s="91" t="s">
        <v>1098</v>
      </c>
      <c r="C16" s="92" t="s">
        <v>14</v>
      </c>
      <c r="D16" s="90"/>
      <c r="E16" s="91"/>
      <c r="F16" s="94" t="s">
        <v>13</v>
      </c>
      <c r="G16" s="214"/>
    </row>
    <row r="17" spans="1:7" s="213" customFormat="1" ht="12.75" customHeight="1">
      <c r="A17" s="215"/>
      <c r="B17" s="216"/>
      <c r="C17" s="217"/>
      <c r="D17" s="216"/>
      <c r="E17" s="218"/>
      <c r="F17" s="219"/>
      <c r="G17" s="214"/>
    </row>
    <row r="18" spans="1:7" s="211" customFormat="1" ht="12.75" customHeight="1">
      <c r="A18" s="220"/>
      <c r="B18" s="145"/>
      <c r="C18" s="95" t="s">
        <v>3387</v>
      </c>
      <c r="D18" s="147"/>
      <c r="E18" s="147"/>
      <c r="F18" s="147"/>
      <c r="G18" s="221"/>
    </row>
    <row r="19" spans="1:7" s="211" customFormat="1" ht="12.75" customHeight="1">
      <c r="A19" s="220"/>
      <c r="B19" s="145"/>
      <c r="C19" s="95"/>
      <c r="D19" s="147"/>
      <c r="E19" s="147"/>
      <c r="F19" s="147"/>
      <c r="G19" s="221"/>
    </row>
    <row r="20" spans="1:7" s="224" customFormat="1" ht="12.75" customHeight="1">
      <c r="A20" s="222" t="s">
        <v>3388</v>
      </c>
      <c r="B20" s="303" t="s">
        <v>3389</v>
      </c>
      <c r="C20" s="147" t="s">
        <v>3390</v>
      </c>
      <c r="F20" s="147">
        <v>271</v>
      </c>
    </row>
    <row r="21" spans="1:7" s="224" customFormat="1" ht="12.75" customHeight="1">
      <c r="C21" s="147"/>
      <c r="F21" s="147"/>
    </row>
    <row r="22" spans="1:7" s="211" customFormat="1" ht="12.75" customHeight="1">
      <c r="A22" s="222"/>
      <c r="B22" s="303"/>
      <c r="C22" s="147" t="s">
        <v>1814</v>
      </c>
      <c r="D22" s="224"/>
      <c r="E22" s="224"/>
      <c r="F22" s="147">
        <f>F20*6%</f>
        <v>16.259999999999998</v>
      </c>
      <c r="G22" s="221"/>
    </row>
    <row r="23" spans="1:7" s="211" customFormat="1" ht="12.75" customHeight="1">
      <c r="A23" s="222"/>
      <c r="B23" s="303"/>
      <c r="C23" s="147"/>
      <c r="D23" s="224"/>
      <c r="E23" s="224"/>
      <c r="F23" s="147"/>
      <c r="G23" s="221"/>
    </row>
    <row r="24" spans="1:7" s="224" customFormat="1" ht="12.75" customHeight="1">
      <c r="C24" s="147" t="s">
        <v>3391</v>
      </c>
      <c r="F24" s="147">
        <v>-0.01</v>
      </c>
    </row>
    <row r="25" spans="1:7" s="224" customFormat="1" ht="12.75" customHeight="1">
      <c r="A25" s="222"/>
      <c r="B25" s="223"/>
      <c r="C25" s="147"/>
      <c r="F25" s="147"/>
    </row>
    <row r="26" spans="1:7" s="224" customFormat="1" ht="12.75" customHeight="1">
      <c r="A26" s="222"/>
      <c r="B26" s="223"/>
      <c r="C26" s="147"/>
      <c r="F26" s="147"/>
    </row>
    <row r="27" spans="1:7" s="224" customFormat="1" ht="12.75" customHeight="1">
      <c r="A27" s="222"/>
      <c r="B27" s="223"/>
      <c r="F27" s="147"/>
    </row>
    <row r="28" spans="1:7" s="224" customFormat="1" ht="12.75" customHeight="1">
      <c r="A28" s="222"/>
      <c r="B28" s="303"/>
      <c r="C28" s="147"/>
      <c r="F28" s="147"/>
    </row>
    <row r="29" spans="1:7" s="224" customFormat="1" ht="12.75" customHeight="1">
      <c r="A29" s="222"/>
      <c r="B29" s="223"/>
      <c r="C29" s="147"/>
      <c r="F29" s="147"/>
    </row>
    <row r="30" spans="1:7" s="227" customFormat="1" ht="12.75" customHeight="1">
      <c r="A30" s="225"/>
      <c r="B30" s="223"/>
      <c r="C30" s="147"/>
      <c r="D30" s="147"/>
      <c r="E30" s="147"/>
      <c r="F30" s="147"/>
    </row>
    <row r="31" spans="1:7" s="227" customFormat="1" ht="12.75" customHeight="1">
      <c r="A31" s="222"/>
      <c r="B31" s="223"/>
      <c r="C31" s="147"/>
      <c r="D31" s="224"/>
      <c r="E31" s="224"/>
      <c r="F31" s="147"/>
    </row>
    <row r="32" spans="1:7" ht="12.75" customHeight="1">
      <c r="A32" s="222"/>
      <c r="B32" s="145"/>
      <c r="C32" s="147"/>
      <c r="D32" s="131"/>
      <c r="E32" s="131"/>
      <c r="F32" s="131"/>
    </row>
    <row r="33" spans="1:7" s="211" customFormat="1" ht="12.75" customHeight="1">
      <c r="A33" s="228"/>
      <c r="B33" s="228"/>
      <c r="C33" s="147"/>
      <c r="D33" s="131"/>
      <c r="E33" s="131"/>
      <c r="F33" s="131"/>
      <c r="G33" s="221"/>
    </row>
    <row r="34" spans="1:7" s="211" customFormat="1" ht="12.75" customHeight="1">
      <c r="A34" s="222"/>
      <c r="B34" s="145"/>
      <c r="C34" s="147"/>
      <c r="D34" s="147"/>
      <c r="E34" s="147"/>
      <c r="F34" s="147"/>
      <c r="G34" s="221"/>
    </row>
    <row r="35" spans="1:7" s="211" customFormat="1" ht="12.75" customHeight="1">
      <c r="A35" s="225"/>
      <c r="B35" s="145"/>
      <c r="C35" s="147"/>
      <c r="D35" s="147"/>
      <c r="E35" s="147"/>
      <c r="F35" s="147"/>
      <c r="G35" s="221"/>
    </row>
    <row r="36" spans="1:7" s="211" customFormat="1" ht="15.75" customHeight="1" thickBot="1">
      <c r="A36" s="229"/>
      <c r="B36" s="224"/>
      <c r="C36" s="224"/>
      <c r="D36" s="224"/>
      <c r="E36" s="224"/>
      <c r="F36" s="230">
        <f>SUM(F18:F35)</f>
        <v>287.25</v>
      </c>
      <c r="G36" s="221"/>
    </row>
    <row r="37" spans="1:7" s="211" customFormat="1" ht="12.75" customHeight="1" thickTop="1">
      <c r="A37" s="229"/>
      <c r="B37" s="224"/>
      <c r="C37" s="224"/>
      <c r="D37" s="224"/>
      <c r="E37" s="224"/>
      <c r="F37" s="224"/>
      <c r="G37" s="221"/>
    </row>
    <row r="38" spans="1:7" ht="20.100000000000001" customHeight="1">
      <c r="A38" s="138" t="s">
        <v>1133</v>
      </c>
      <c r="B38" s="204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Two Hundred Eighty-Seven and 25/100 -----------</v>
      </c>
      <c r="C38" s="231"/>
      <c r="D38" s="231"/>
      <c r="E38" s="231"/>
      <c r="F38" s="231"/>
    </row>
    <row r="39" spans="1:7" ht="12.75" customHeight="1">
      <c r="A39" s="232"/>
    </row>
    <row r="40" spans="1:7" ht="27" customHeight="1">
      <c r="A40" s="131" t="s">
        <v>10</v>
      </c>
      <c r="B40" s="131"/>
      <c r="C40" s="131"/>
      <c r="D40" s="283" t="s">
        <v>2894</v>
      </c>
      <c r="E40" s="284"/>
      <c r="F40" s="285"/>
    </row>
    <row r="41" spans="1:7" ht="12.75" customHeight="1">
      <c r="A41" s="131"/>
      <c r="B41" s="131"/>
      <c r="C41" s="131"/>
      <c r="D41" s="131"/>
      <c r="E41" s="131"/>
      <c r="F41" s="131"/>
    </row>
    <row r="42" spans="1:7" ht="12.75" customHeight="1">
      <c r="A42" s="131"/>
      <c r="B42" s="131"/>
      <c r="C42" s="131"/>
      <c r="D42" s="131"/>
      <c r="E42" s="131"/>
      <c r="F42" s="131"/>
    </row>
    <row r="43" spans="1:7">
      <c r="A43" s="301"/>
      <c r="B43" s="131"/>
      <c r="C43" s="131"/>
      <c r="D43" s="291"/>
      <c r="E43" s="291"/>
      <c r="F43" s="291"/>
    </row>
    <row r="44" spans="1:7">
      <c r="A44" s="248"/>
      <c r="B44" s="142"/>
      <c r="C44" s="131"/>
      <c r="D44" s="286"/>
      <c r="E44" s="287"/>
      <c r="F44" s="287"/>
    </row>
    <row r="45" spans="1:7" ht="12.75" customHeight="1">
      <c r="A45" s="301"/>
      <c r="B45" s="301"/>
      <c r="C45" s="131"/>
      <c r="D45" s="131"/>
      <c r="E45" s="131"/>
      <c r="F45" s="144"/>
    </row>
    <row r="46" spans="1:7" ht="12.75" customHeight="1">
      <c r="A46" s="143" t="s">
        <v>8</v>
      </c>
      <c r="B46" s="131"/>
      <c r="C46" s="131"/>
      <c r="D46" s="143" t="s">
        <v>7</v>
      </c>
      <c r="E46" s="131"/>
      <c r="F46" s="131"/>
    </row>
    <row r="47" spans="1:7" ht="12.75" customHeight="1">
      <c r="A47" s="301"/>
      <c r="B47" s="131"/>
      <c r="C47" s="131"/>
      <c r="E47" s="131"/>
      <c r="F47" s="131"/>
    </row>
    <row r="48" spans="1:7" ht="12.75" customHeight="1">
      <c r="A48" s="143"/>
      <c r="B48" s="131"/>
      <c r="C48" s="131"/>
      <c r="D48" s="131"/>
      <c r="E48" s="131"/>
      <c r="F48" s="131"/>
    </row>
    <row r="49" spans="1:6" ht="12.75" customHeight="1">
      <c r="A49" s="143"/>
      <c r="B49" s="131"/>
      <c r="C49" s="131"/>
      <c r="D49" s="131"/>
      <c r="E49" s="131"/>
      <c r="F49" s="131"/>
    </row>
    <row r="50" spans="1:6" s="211" customFormat="1" ht="12.75" customHeight="1">
      <c r="A50" s="143"/>
      <c r="B50" s="131"/>
      <c r="C50" s="131"/>
      <c r="D50" s="131"/>
      <c r="E50" s="147"/>
      <c r="F50" s="147"/>
    </row>
    <row r="51" spans="1:6" ht="12.75" customHeight="1">
      <c r="A51" s="248"/>
      <c r="B51" s="142"/>
      <c r="C51" s="131"/>
      <c r="D51" s="142"/>
      <c r="E51" s="142"/>
      <c r="F51" s="142"/>
    </row>
    <row r="52" spans="1:6">
      <c r="A52" s="143" t="s">
        <v>2948</v>
      </c>
      <c r="B52" s="146"/>
      <c r="C52" s="147"/>
      <c r="D52" s="147" t="s">
        <v>3</v>
      </c>
      <c r="E52" s="131"/>
      <c r="F52" s="131"/>
    </row>
    <row r="53" spans="1:6">
      <c r="A53" s="143"/>
      <c r="B53" s="131"/>
      <c r="C53" s="131"/>
      <c r="D53" s="131" t="s">
        <v>2</v>
      </c>
      <c r="E53" s="131"/>
      <c r="F53" s="131"/>
    </row>
    <row r="54" spans="1:6" ht="12.75" customHeight="1">
      <c r="A54" s="131"/>
      <c r="B54" s="131"/>
      <c r="C54" s="131"/>
      <c r="D54" s="131"/>
      <c r="E54" s="131"/>
      <c r="F54" s="131"/>
    </row>
    <row r="55" spans="1:6">
      <c r="A55" s="131"/>
      <c r="B55" s="131"/>
      <c r="C55" s="131"/>
      <c r="D55" s="110" t="s">
        <v>1</v>
      </c>
      <c r="E55" s="131"/>
      <c r="F55" s="131"/>
    </row>
    <row r="56" spans="1:6">
      <c r="A56" s="131"/>
      <c r="B56" s="131"/>
      <c r="C56" s="131"/>
      <c r="D56" s="110" t="s">
        <v>0</v>
      </c>
      <c r="E56" s="131"/>
      <c r="F56" s="131"/>
    </row>
    <row r="57" spans="1:6" ht="12.75" customHeight="1">
      <c r="A57" s="131"/>
      <c r="B57" s="131"/>
      <c r="C57" s="131"/>
      <c r="D57" s="131"/>
      <c r="E57" s="131"/>
      <c r="F57" s="131"/>
    </row>
    <row r="58" spans="1:6" ht="12.75" customHeight="1">
      <c r="A58" s="131"/>
      <c r="B58" s="131"/>
      <c r="C58" s="131"/>
      <c r="D58" s="131"/>
      <c r="E58" s="131"/>
      <c r="F58" s="131"/>
    </row>
    <row r="59" spans="1:6">
      <c r="A59" s="131"/>
      <c r="B59" s="131"/>
      <c r="C59" s="131"/>
      <c r="D59" s="131"/>
      <c r="E59" s="131"/>
      <c r="F59" s="131"/>
    </row>
    <row r="60" spans="1:6">
      <c r="A60" s="131"/>
      <c r="B60" s="131"/>
      <c r="C60" s="131"/>
      <c r="D60" s="131"/>
      <c r="E60" s="131"/>
      <c r="F60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1-000000000000}">
  <sheetPr codeName="Sheet353"/>
  <dimension ref="A1:Q61"/>
  <sheetViews>
    <sheetView view="pageBreakPreview" zoomScaleNormal="100" zoomScaleSheetLayoutView="100" workbookViewId="0">
      <selection activeCell="G9" sqref="G9:G14"/>
    </sheetView>
  </sheetViews>
  <sheetFormatPr defaultRowHeight="16.5"/>
  <cols>
    <col min="1" max="1" width="15.5703125" style="227" customWidth="1"/>
    <col min="2" max="2" width="11.7109375" style="227" customWidth="1"/>
    <col min="3" max="3" width="1.42578125" style="227" customWidth="1"/>
    <col min="4" max="4" width="19.85546875" style="227" customWidth="1"/>
    <col min="5" max="5" width="0.85546875" style="227" customWidth="1"/>
    <col min="6" max="6" width="14" style="227" customWidth="1"/>
    <col min="7" max="7" width="11.42578125" style="227" customWidth="1"/>
    <col min="8" max="8" width="13.28515625" style="227" customWidth="1"/>
    <col min="9" max="9" width="16.140625" style="209" customWidth="1"/>
    <col min="10" max="11" width="9.140625" style="209"/>
    <col min="12" max="12" width="9.7109375" style="209" bestFit="1" customWidth="1"/>
    <col min="13" max="16384" width="9.140625" style="209"/>
  </cols>
  <sheetData>
    <row r="1" spans="1:17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7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7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7" ht="12.75" customHeight="1">
      <c r="A4" s="532" t="s">
        <v>1684</v>
      </c>
      <c r="B4" s="532"/>
      <c r="C4" s="532"/>
      <c r="D4" s="532"/>
      <c r="E4" s="532"/>
      <c r="F4" s="532"/>
      <c r="G4" s="532"/>
      <c r="H4" s="532"/>
    </row>
    <row r="5" spans="1:17" ht="12.75" hidden="1" customHeight="1">
      <c r="A5" s="131"/>
      <c r="B5" s="131"/>
      <c r="C5" s="131"/>
      <c r="D5" s="131"/>
      <c r="E5" s="131"/>
      <c r="F5" s="131"/>
      <c r="G5" s="131"/>
      <c r="H5" s="131"/>
    </row>
    <row r="6" spans="1:17" ht="12.75" hidden="1" customHeight="1">
      <c r="A6" s="131"/>
      <c r="B6" s="131"/>
      <c r="C6" s="131"/>
      <c r="D6" s="131"/>
      <c r="E6" s="131"/>
      <c r="F6" s="131"/>
      <c r="G6" s="131"/>
      <c r="H6" s="131"/>
    </row>
    <row r="7" spans="1:17" ht="12.75" customHeight="1">
      <c r="A7" s="131"/>
      <c r="B7" s="131"/>
      <c r="C7" s="131"/>
      <c r="D7" s="131"/>
      <c r="E7" s="131"/>
      <c r="F7" s="131"/>
      <c r="G7" s="131"/>
      <c r="H7" s="131"/>
    </row>
    <row r="8" spans="1:17" s="211" customFormat="1" ht="12.75" customHeight="1">
      <c r="A8" s="147" t="s">
        <v>24</v>
      </c>
      <c r="B8" s="147"/>
      <c r="C8" s="147"/>
      <c r="D8" s="147"/>
      <c r="E8" s="147"/>
      <c r="F8" s="210" t="s">
        <v>23</v>
      </c>
      <c r="G8" s="147"/>
      <c r="H8" s="147"/>
    </row>
    <row r="9" spans="1:17" s="211" customFormat="1" ht="12.75" customHeight="1">
      <c r="A9" s="147"/>
      <c r="B9" s="147"/>
      <c r="C9" s="147"/>
      <c r="D9" s="147"/>
      <c r="E9" s="147"/>
      <c r="F9" s="212" t="s">
        <v>1723</v>
      </c>
      <c r="G9" s="489" t="s">
        <v>7276</v>
      </c>
      <c r="H9" s="483"/>
      <c r="I9" s="211" t="s">
        <v>7264</v>
      </c>
      <c r="J9" s="211">
        <v>44208</v>
      </c>
      <c r="K9" s="211" t="s">
        <v>7182</v>
      </c>
    </row>
    <row r="10" spans="1:17" s="211" customFormat="1" ht="12.75" customHeight="1">
      <c r="A10" s="147" t="s">
        <v>3319</v>
      </c>
      <c r="B10" s="147"/>
      <c r="C10" s="147"/>
      <c r="D10" s="147"/>
      <c r="E10" s="147"/>
      <c r="F10" s="212" t="s">
        <v>1340</v>
      </c>
      <c r="G10" s="489" t="s">
        <v>7265</v>
      </c>
      <c r="H10" s="483"/>
    </row>
    <row r="11" spans="1:17" s="211" customFormat="1" ht="12.75" customHeight="1">
      <c r="A11" s="147" t="s">
        <v>3320</v>
      </c>
      <c r="B11" s="147"/>
      <c r="C11" s="147"/>
      <c r="D11" s="147"/>
      <c r="E11" s="147"/>
      <c r="F11" s="212" t="s">
        <v>1341</v>
      </c>
      <c r="G11" s="489" t="s">
        <v>1094</v>
      </c>
      <c r="H11" s="483"/>
    </row>
    <row r="12" spans="1:17" s="211" customFormat="1" ht="12.75" customHeight="1">
      <c r="A12" s="147" t="s">
        <v>2902</v>
      </c>
      <c r="B12" s="147"/>
      <c r="C12" s="147"/>
      <c r="D12" s="147"/>
      <c r="E12" s="147"/>
      <c r="F12" s="212" t="s">
        <v>2136</v>
      </c>
      <c r="G12" s="483" t="s">
        <v>7277</v>
      </c>
      <c r="H12" s="483"/>
      <c r="I12" s="492" t="s">
        <v>6862</v>
      </c>
      <c r="J12" s="281" t="s">
        <v>6863</v>
      </c>
      <c r="K12" s="281"/>
      <c r="L12" s="494" t="s">
        <v>6864</v>
      </c>
      <c r="M12" s="494"/>
      <c r="N12" s="494"/>
      <c r="O12" s="494"/>
      <c r="P12" s="320">
        <v>200</v>
      </c>
      <c r="Q12" s="318"/>
    </row>
    <row r="13" spans="1:17" s="211" customFormat="1" ht="12.75" customHeight="1">
      <c r="A13" s="147" t="s">
        <v>1287</v>
      </c>
      <c r="B13" s="147"/>
      <c r="C13" s="147"/>
      <c r="D13" s="147"/>
      <c r="E13" s="147"/>
      <c r="F13" s="147"/>
      <c r="G13" s="483" t="s">
        <v>6182</v>
      </c>
      <c r="H13" s="483"/>
      <c r="I13" s="495"/>
      <c r="J13" s="281"/>
      <c r="K13" s="281"/>
      <c r="L13" s="494" t="s">
        <v>6865</v>
      </c>
      <c r="M13" s="494"/>
      <c r="N13" s="494"/>
      <c r="O13" s="494"/>
      <c r="P13" s="320"/>
      <c r="Q13" s="318"/>
    </row>
    <row r="14" spans="1:17" s="211" customFormat="1" ht="12.75" customHeight="1">
      <c r="A14" s="147" t="s">
        <v>3321</v>
      </c>
      <c r="B14" s="147"/>
      <c r="C14" s="147"/>
      <c r="D14" s="147"/>
      <c r="E14" s="147"/>
      <c r="F14" s="147"/>
      <c r="G14" s="147"/>
      <c r="H14" s="147"/>
      <c r="I14" s="492"/>
      <c r="J14" s="281"/>
      <c r="K14" s="281"/>
      <c r="L14" s="494"/>
      <c r="M14" s="494"/>
      <c r="N14" s="494"/>
      <c r="O14" s="494"/>
      <c r="P14" s="320"/>
      <c r="Q14" s="318"/>
    </row>
    <row r="15" spans="1:17" s="213" customFormat="1" ht="12.75" customHeight="1">
      <c r="A15" s="147"/>
      <c r="B15" s="147"/>
      <c r="C15" s="147"/>
      <c r="D15" s="147"/>
      <c r="E15" s="147"/>
      <c r="F15" s="147"/>
      <c r="G15" s="147"/>
      <c r="H15" s="147"/>
      <c r="I15" s="495"/>
      <c r="J15" s="281"/>
      <c r="K15" s="281"/>
      <c r="L15" s="494" t="s">
        <v>6866</v>
      </c>
      <c r="M15" s="494"/>
      <c r="N15" s="494"/>
      <c r="O15" s="494"/>
      <c r="P15" s="320">
        <v>80</v>
      </c>
      <c r="Q15" s="318"/>
    </row>
    <row r="16" spans="1:17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L16" s="494"/>
      <c r="M16" s="494"/>
      <c r="N16" s="494"/>
      <c r="O16" s="494"/>
      <c r="P16" s="320"/>
      <c r="Q16" s="318"/>
    </row>
    <row r="17" spans="1:17" s="213" customFormat="1" ht="12.75" customHeight="1">
      <c r="A17" s="215"/>
      <c r="B17" s="216"/>
      <c r="C17" s="216"/>
      <c r="D17" s="217"/>
      <c r="E17" s="217"/>
      <c r="F17" s="216"/>
      <c r="G17" s="218"/>
      <c r="H17" s="219"/>
      <c r="I17" s="227"/>
      <c r="J17" s="227"/>
      <c r="K17" s="281"/>
      <c r="L17" s="319" t="s">
        <v>6869</v>
      </c>
      <c r="M17" s="494"/>
      <c r="N17" s="494"/>
      <c r="O17" s="494"/>
      <c r="P17" s="320"/>
      <c r="Q17" s="227"/>
    </row>
    <row r="18" spans="1:17" s="213" customFormat="1" ht="12.75" customHeight="1">
      <c r="A18" s="492"/>
      <c r="B18" s="281"/>
      <c r="C18" s="281"/>
      <c r="D18" s="319" t="s">
        <v>7278</v>
      </c>
      <c r="E18" s="494"/>
      <c r="F18" s="494"/>
      <c r="G18" s="494"/>
      <c r="H18" s="320"/>
      <c r="I18" s="492"/>
      <c r="J18" s="281"/>
      <c r="K18" s="281"/>
      <c r="L18" s="494"/>
      <c r="M18" s="494"/>
      <c r="N18" s="494"/>
      <c r="O18" s="494"/>
      <c r="P18" s="320"/>
      <c r="Q18" s="227"/>
    </row>
    <row r="19" spans="1:17" s="213" customFormat="1" ht="12.75" customHeight="1">
      <c r="A19" s="495"/>
      <c r="B19" s="281"/>
      <c r="C19" s="281"/>
      <c r="D19" s="494"/>
      <c r="E19" s="494"/>
      <c r="F19" s="494"/>
      <c r="G19" s="494"/>
      <c r="H19" s="320"/>
      <c r="I19" s="495" t="s">
        <v>6867</v>
      </c>
      <c r="J19" s="281" t="s">
        <v>6868</v>
      </c>
      <c r="K19" s="281"/>
      <c r="L19" s="494" t="s">
        <v>6870</v>
      </c>
      <c r="M19" s="494"/>
      <c r="N19" s="494"/>
      <c r="O19" s="494"/>
      <c r="P19" s="320">
        <v>48</v>
      </c>
      <c r="Q19" s="227"/>
    </row>
    <row r="20" spans="1:17" s="213" customFormat="1" ht="12.75" customHeight="1">
      <c r="A20" s="492" t="s">
        <v>7258</v>
      </c>
      <c r="B20" s="281" t="s">
        <v>7279</v>
      </c>
      <c r="C20" s="281"/>
      <c r="D20" s="145" t="s">
        <v>7280</v>
      </c>
      <c r="E20" s="145"/>
      <c r="F20" s="145"/>
      <c r="G20" s="145"/>
      <c r="H20" s="320">
        <v>56</v>
      </c>
      <c r="I20" s="492"/>
      <c r="J20" s="281"/>
      <c r="K20" s="281"/>
      <c r="L20" s="494" t="s">
        <v>6871</v>
      </c>
      <c r="M20" s="494"/>
      <c r="N20" s="494"/>
      <c r="O20" s="494"/>
      <c r="P20" s="320">
        <v>48</v>
      </c>
      <c r="Q20" s="227"/>
    </row>
    <row r="21" spans="1:17" s="213" customFormat="1" ht="12.75" customHeight="1">
      <c r="A21" s="222"/>
      <c r="B21" s="281"/>
      <c r="C21" s="281"/>
      <c r="D21" s="494"/>
      <c r="E21" s="145"/>
      <c r="F21" s="145"/>
      <c r="G21" s="145"/>
      <c r="H21" s="320"/>
      <c r="I21" s="492"/>
      <c r="J21" s="281"/>
      <c r="K21" s="281"/>
      <c r="L21" s="319"/>
      <c r="M21" s="494"/>
      <c r="N21" s="494"/>
      <c r="O21" s="494"/>
      <c r="P21" s="320"/>
      <c r="Q21" s="227"/>
    </row>
    <row r="22" spans="1:17" s="213" customFormat="1" ht="12.75" customHeight="1">
      <c r="D22" s="494"/>
      <c r="E22" s="145"/>
      <c r="F22" s="145"/>
      <c r="G22" s="145"/>
      <c r="H22" s="320"/>
      <c r="I22" s="492"/>
      <c r="J22" s="281"/>
      <c r="K22" s="281"/>
      <c r="L22" s="494"/>
      <c r="M22" s="494"/>
      <c r="N22" s="494"/>
      <c r="O22" s="494"/>
      <c r="P22" s="320"/>
      <c r="Q22" s="227"/>
    </row>
    <row r="23" spans="1:17" s="227" customFormat="1" ht="12.75" customHeight="1">
      <c r="C23" s="281"/>
      <c r="D23" s="494"/>
      <c r="E23" s="145"/>
      <c r="F23" s="145"/>
      <c r="G23" s="145"/>
      <c r="H23" s="320"/>
    </row>
    <row r="24" spans="1:17" s="227" customFormat="1" ht="12.75" customHeight="1">
      <c r="C24" s="281"/>
      <c r="D24" s="494"/>
      <c r="E24" s="494"/>
      <c r="F24" s="494"/>
      <c r="G24" s="494"/>
      <c r="H24" s="320"/>
    </row>
    <row r="25" spans="1:17" s="227" customFormat="1" ht="12.75" customHeight="1">
      <c r="C25" s="281"/>
      <c r="D25" s="319"/>
      <c r="E25" s="494"/>
      <c r="F25" s="494"/>
      <c r="G25" s="494"/>
      <c r="H25" s="320"/>
    </row>
    <row r="26" spans="1:17" s="227" customFormat="1" ht="12.75" customHeight="1">
      <c r="C26" s="281"/>
      <c r="D26" s="494"/>
      <c r="E26" s="494"/>
      <c r="F26" s="494"/>
      <c r="G26" s="494"/>
      <c r="H26" s="320"/>
    </row>
    <row r="27" spans="1:17" s="227" customFormat="1" ht="12.75" customHeight="1">
      <c r="A27" s="492"/>
      <c r="B27" s="281"/>
      <c r="C27" s="281"/>
      <c r="D27" s="494"/>
      <c r="E27" s="145"/>
      <c r="F27" s="145"/>
      <c r="G27" s="145"/>
      <c r="H27" s="320"/>
    </row>
    <row r="28" spans="1:17" s="227" customFormat="1" ht="12.75" customHeight="1">
      <c r="A28" s="495"/>
      <c r="B28" s="281"/>
      <c r="C28" s="281"/>
      <c r="D28" s="494"/>
      <c r="E28" s="145"/>
      <c r="F28" s="145"/>
      <c r="G28" s="145"/>
      <c r="H28" s="320"/>
    </row>
    <row r="29" spans="1:17" s="227" customFormat="1" ht="12.75" customHeight="1">
      <c r="A29" s="158"/>
      <c r="B29" s="281"/>
      <c r="C29" s="281"/>
      <c r="D29" s="494"/>
      <c r="E29" s="145"/>
      <c r="F29" s="145"/>
      <c r="G29" s="145"/>
      <c r="H29" s="320"/>
    </row>
    <row r="30" spans="1:17" s="227" customFormat="1" ht="12.75" customHeight="1">
      <c r="A30" s="492"/>
      <c r="B30" s="281"/>
      <c r="C30" s="281"/>
      <c r="D30" s="319"/>
      <c r="E30" s="494"/>
      <c r="F30" s="494"/>
      <c r="G30" s="494"/>
      <c r="H30" s="320"/>
    </row>
    <row r="31" spans="1:17" s="227" customFormat="1" ht="12.75" customHeight="1">
      <c r="A31" s="222"/>
      <c r="B31" s="281"/>
      <c r="C31" s="281"/>
      <c r="D31" s="319"/>
      <c r="E31" s="145"/>
      <c r="F31" s="145"/>
      <c r="G31" s="145"/>
      <c r="H31" s="320"/>
    </row>
    <row r="32" spans="1:17" s="227" customFormat="1" ht="12.75" customHeight="1">
      <c r="A32" s="158"/>
      <c r="B32" s="281"/>
      <c r="C32" s="281"/>
      <c r="D32" s="145"/>
      <c r="E32" s="145"/>
      <c r="F32" s="145"/>
      <c r="G32" s="145"/>
      <c r="H32" s="320"/>
    </row>
    <row r="33" spans="1:9" s="227" customFormat="1" ht="12.75" customHeight="1">
      <c r="A33" s="222"/>
      <c r="B33" s="281"/>
      <c r="C33" s="281"/>
      <c r="D33" s="145"/>
      <c r="E33" s="145"/>
      <c r="F33" s="145"/>
      <c r="G33" s="145"/>
      <c r="H33" s="320"/>
    </row>
    <row r="34" spans="1:9" s="227" customFormat="1" ht="12.75" customHeight="1">
      <c r="A34" s="222"/>
      <c r="B34" s="281"/>
      <c r="C34" s="281"/>
      <c r="D34" s="319"/>
      <c r="E34" s="145"/>
      <c r="F34" s="145"/>
      <c r="G34" s="145"/>
      <c r="H34" s="320"/>
    </row>
    <row r="35" spans="1:9" s="227" customFormat="1" ht="12.75" customHeight="1">
      <c r="A35" s="222"/>
      <c r="B35" s="281"/>
      <c r="C35" s="281"/>
      <c r="D35" s="145"/>
      <c r="E35" s="145"/>
      <c r="F35" s="145"/>
      <c r="G35" s="145"/>
      <c r="H35" s="320"/>
    </row>
    <row r="36" spans="1:9" s="211" customFormat="1" ht="15.75" customHeight="1" thickBot="1">
      <c r="A36" s="229"/>
      <c r="B36" s="224"/>
      <c r="C36" s="224"/>
      <c r="D36" s="224"/>
      <c r="E36" s="224"/>
      <c r="F36" s="224"/>
      <c r="G36" s="224"/>
      <c r="H36" s="328">
        <f>SUM(H18:H35)</f>
        <v>56</v>
      </c>
      <c r="I36" s="221"/>
    </row>
    <row r="37" spans="1:9" s="211" customFormat="1" ht="12.75" customHeight="1" thickTop="1">
      <c r="A37" s="229"/>
      <c r="B37" s="224"/>
      <c r="C37" s="224"/>
      <c r="D37" s="224"/>
      <c r="E37" s="224"/>
      <c r="F37" s="224"/>
      <c r="G37" s="224"/>
      <c r="H37" s="224"/>
      <c r="I37" s="221"/>
    </row>
    <row r="38" spans="1:9" ht="20.100000000000001" customHeight="1">
      <c r="A38" s="138" t="s">
        <v>1133</v>
      </c>
      <c r="B38" s="204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Fifty-Six and NO/100 -----------</v>
      </c>
      <c r="C38" s="204"/>
      <c r="D38" s="231"/>
      <c r="E38" s="231"/>
      <c r="F38" s="231"/>
      <c r="G38" s="231"/>
      <c r="H38" s="231"/>
    </row>
    <row r="39" spans="1:9" ht="12.75" customHeight="1">
      <c r="A39" s="232"/>
    </row>
    <row r="40" spans="1:9" ht="27" customHeight="1">
      <c r="A40" s="131" t="s">
        <v>10</v>
      </c>
      <c r="B40" s="131"/>
      <c r="C40" s="131"/>
      <c r="D40" s="131"/>
      <c r="E40" s="131"/>
      <c r="F40" s="283" t="s">
        <v>2894</v>
      </c>
      <c r="G40" s="284"/>
      <c r="H40" s="285"/>
    </row>
    <row r="41" spans="1:9" ht="12.75" customHeight="1">
      <c r="A41" s="131"/>
      <c r="B41" s="131"/>
      <c r="C41" s="131"/>
      <c r="D41" s="131"/>
      <c r="E41" s="131"/>
      <c r="F41" s="131"/>
      <c r="G41" s="131"/>
      <c r="H41" s="131"/>
    </row>
    <row r="42" spans="1:9" ht="12.75" customHeight="1">
      <c r="A42" s="131"/>
      <c r="B42" s="131"/>
      <c r="C42" s="131"/>
      <c r="D42" s="131"/>
      <c r="E42" s="131"/>
      <c r="F42" s="131"/>
      <c r="G42" s="131"/>
      <c r="H42" s="131"/>
    </row>
    <row r="43" spans="1:9">
      <c r="A43" s="301"/>
      <c r="B43" s="131"/>
      <c r="C43" s="131"/>
      <c r="D43" s="131"/>
      <c r="E43" s="131"/>
      <c r="F43" s="291"/>
      <c r="G43" s="291"/>
      <c r="H43" s="291"/>
    </row>
    <row r="44" spans="1:9">
      <c r="A44" s="248"/>
      <c r="B44" s="142"/>
      <c r="C44" s="131"/>
      <c r="D44" s="131"/>
      <c r="E44" s="131"/>
      <c r="F44" s="286"/>
      <c r="G44" s="287"/>
      <c r="H44" s="287"/>
    </row>
    <row r="45" spans="1:9" ht="12.75" customHeight="1">
      <c r="A45" s="301"/>
      <c r="B45" s="301"/>
      <c r="C45" s="301"/>
      <c r="D45" s="131"/>
      <c r="E45" s="131"/>
      <c r="F45" s="131"/>
      <c r="G45" s="131"/>
      <c r="H45" s="144"/>
    </row>
    <row r="46" spans="1:9" ht="12.75" customHeight="1">
      <c r="A46" s="301"/>
      <c r="B46" s="301"/>
      <c r="C46" s="301"/>
      <c r="D46" s="301"/>
      <c r="E46" s="131"/>
      <c r="F46" s="131"/>
      <c r="G46" s="131"/>
      <c r="H46" s="144"/>
    </row>
    <row r="47" spans="1:9" ht="12.75" customHeight="1">
      <c r="A47" s="143" t="s">
        <v>8</v>
      </c>
      <c r="B47" s="131"/>
      <c r="C47" s="131"/>
      <c r="D47" s="143" t="s">
        <v>8</v>
      </c>
      <c r="E47" s="131"/>
      <c r="F47" s="131"/>
      <c r="G47" s="131"/>
      <c r="H47" s="131"/>
    </row>
    <row r="48" spans="1:9" ht="12.75" customHeight="1">
      <c r="A48" s="301"/>
      <c r="B48" s="131"/>
      <c r="C48" s="131"/>
      <c r="D48" s="301"/>
      <c r="E48" s="131"/>
      <c r="F48" s="143" t="s">
        <v>7</v>
      </c>
      <c r="G48" s="131"/>
      <c r="H48" s="131"/>
    </row>
    <row r="49" spans="1:8" ht="12.75" customHeight="1">
      <c r="A49" s="143"/>
      <c r="B49" s="131"/>
      <c r="C49" s="131"/>
      <c r="D49" s="143"/>
      <c r="E49" s="131"/>
      <c r="F49" s="131"/>
      <c r="G49" s="131"/>
      <c r="H49" s="131"/>
    </row>
    <row r="50" spans="1:8" ht="12.75" customHeight="1">
      <c r="A50" s="143"/>
      <c r="B50" s="131"/>
      <c r="C50" s="131"/>
      <c r="D50" s="143"/>
      <c r="E50" s="131"/>
      <c r="F50" s="131"/>
      <c r="G50" s="131"/>
      <c r="H50" s="131"/>
    </row>
    <row r="51" spans="1:8" s="211" customFormat="1" ht="12.75" customHeight="1">
      <c r="A51" s="143"/>
      <c r="B51" s="131"/>
      <c r="C51" s="131"/>
      <c r="D51" s="143"/>
      <c r="E51" s="131"/>
      <c r="F51" s="131"/>
      <c r="G51" s="147"/>
      <c r="H51" s="147"/>
    </row>
    <row r="52" spans="1:8" ht="12.75" customHeight="1">
      <c r="A52" s="248"/>
      <c r="B52" s="142"/>
      <c r="C52" s="131"/>
      <c r="D52" s="248"/>
      <c r="E52" s="142"/>
      <c r="F52" s="142"/>
      <c r="G52" s="142"/>
      <c r="H52" s="142"/>
    </row>
    <row r="53" spans="1:8" ht="15" customHeight="1">
      <c r="A53" s="143" t="s">
        <v>2948</v>
      </c>
      <c r="B53" s="146"/>
      <c r="C53" s="146"/>
      <c r="D53" s="143" t="s">
        <v>103</v>
      </c>
      <c r="E53" s="146"/>
      <c r="F53" s="147" t="s">
        <v>3</v>
      </c>
      <c r="G53" s="131"/>
      <c r="H53" s="131"/>
    </row>
    <row r="54" spans="1:8" ht="12.75" customHeight="1">
      <c r="A54" s="143"/>
      <c r="B54" s="131"/>
      <c r="C54" s="131"/>
      <c r="D54" s="131"/>
      <c r="E54" s="131"/>
      <c r="F54" s="131" t="s">
        <v>2</v>
      </c>
      <c r="G54" s="131"/>
      <c r="H54" s="131"/>
    </row>
    <row r="55" spans="1:8" ht="12.75" customHeight="1">
      <c r="A55" s="131"/>
      <c r="B55" s="131"/>
      <c r="C55" s="131"/>
      <c r="D55" s="131"/>
      <c r="E55" s="131"/>
      <c r="F55" s="131"/>
      <c r="G55" s="131"/>
      <c r="H55" s="131"/>
    </row>
    <row r="56" spans="1:8" ht="12.75" customHeight="1">
      <c r="A56" s="131"/>
      <c r="B56" s="131"/>
      <c r="C56" s="131"/>
      <c r="D56" s="131"/>
      <c r="E56" s="131"/>
      <c r="F56" s="110" t="s">
        <v>1</v>
      </c>
      <c r="G56" s="131"/>
      <c r="H56" s="131"/>
    </row>
    <row r="57" spans="1:8" ht="12.75" customHeight="1">
      <c r="A57" s="131"/>
      <c r="B57" s="131"/>
      <c r="C57" s="131"/>
      <c r="D57" s="131"/>
      <c r="E57" s="131"/>
      <c r="F57" s="110" t="s">
        <v>0</v>
      </c>
      <c r="G57" s="131"/>
      <c r="H57" s="131"/>
    </row>
    <row r="58" spans="1:8" ht="12.75" customHeight="1">
      <c r="A58" s="131"/>
      <c r="B58" s="131"/>
      <c r="C58" s="131"/>
      <c r="D58" s="131"/>
      <c r="E58" s="131"/>
      <c r="F58" s="131"/>
      <c r="G58" s="131"/>
      <c r="H58" s="131"/>
    </row>
    <row r="59" spans="1:8" ht="12.75" customHeight="1">
      <c r="A59" s="131"/>
      <c r="B59" s="131"/>
      <c r="C59" s="131"/>
      <c r="D59" s="131"/>
      <c r="E59" s="131"/>
      <c r="F59" s="131"/>
      <c r="G59" s="131"/>
      <c r="H59" s="131"/>
    </row>
    <row r="60" spans="1:8">
      <c r="A60" s="131"/>
      <c r="B60" s="131"/>
      <c r="C60" s="131"/>
      <c r="D60" s="131"/>
      <c r="E60" s="131"/>
      <c r="F60" s="131"/>
      <c r="G60" s="131"/>
      <c r="H60" s="131"/>
    </row>
    <row r="61" spans="1:8">
      <c r="A61" s="131"/>
      <c r="B61" s="131"/>
      <c r="C61" s="131"/>
      <c r="D61" s="131"/>
      <c r="E61" s="131"/>
      <c r="F61" s="131"/>
      <c r="G61" s="131"/>
      <c r="H61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3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1-000000000000}">
  <sheetPr codeName="Sheet354">
    <pageSetUpPr fitToPage="1"/>
  </sheetPr>
  <dimension ref="A1:G61"/>
  <sheetViews>
    <sheetView topLeftCell="A7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7.42578125" style="227" customWidth="1"/>
    <col min="3" max="3" width="19.85546875" style="227" customWidth="1"/>
    <col min="4" max="4" width="16.42578125" style="227" customWidth="1"/>
    <col min="5" max="5" width="8.140625" style="227" customWidth="1"/>
    <col min="6" max="6" width="13.28515625" style="227" customWidth="1"/>
    <col min="7" max="7" width="16.140625" style="209" customWidth="1"/>
    <col min="8" max="16384" width="9.140625" style="209"/>
  </cols>
  <sheetData>
    <row r="1" spans="1:7" ht="15" customHeight="1">
      <c r="A1" s="531" t="s">
        <v>26</v>
      </c>
      <c r="B1" s="531"/>
      <c r="C1" s="531"/>
      <c r="D1" s="531"/>
      <c r="E1" s="531"/>
      <c r="F1" s="531"/>
    </row>
    <row r="2" spans="1:7" ht="12.75" customHeight="1">
      <c r="A2" s="532" t="s">
        <v>25</v>
      </c>
      <c r="B2" s="532"/>
      <c r="C2" s="532"/>
      <c r="D2" s="532"/>
      <c r="E2" s="532"/>
      <c r="F2" s="532"/>
    </row>
    <row r="3" spans="1:7" ht="12.75" customHeight="1">
      <c r="A3" s="532" t="s">
        <v>1480</v>
      </c>
      <c r="B3" s="532"/>
      <c r="C3" s="532"/>
      <c r="D3" s="532"/>
      <c r="E3" s="532"/>
      <c r="F3" s="532"/>
    </row>
    <row r="4" spans="1:7" ht="12.75" customHeight="1">
      <c r="A4" s="532" t="s">
        <v>1684</v>
      </c>
      <c r="B4" s="532"/>
      <c r="C4" s="532"/>
      <c r="D4" s="532"/>
      <c r="E4" s="532"/>
      <c r="F4" s="532"/>
    </row>
    <row r="5" spans="1:7" ht="12.75" customHeight="1">
      <c r="A5" s="131"/>
      <c r="B5" s="131"/>
      <c r="C5" s="131"/>
      <c r="D5" s="131"/>
      <c r="E5" s="131"/>
      <c r="F5" s="131"/>
    </row>
    <row r="6" spans="1:7" ht="12.75" customHeight="1">
      <c r="A6" s="131"/>
      <c r="B6" s="131"/>
      <c r="C6" s="131"/>
      <c r="D6" s="131"/>
      <c r="E6" s="131"/>
      <c r="F6" s="131"/>
    </row>
    <row r="7" spans="1:7" ht="12.75" customHeight="1">
      <c r="A7" s="131"/>
      <c r="B7" s="131"/>
      <c r="C7" s="131"/>
      <c r="D7" s="131"/>
      <c r="E7" s="131"/>
      <c r="F7" s="131"/>
    </row>
    <row r="8" spans="1:7" s="211" customFormat="1" ht="12.75" customHeight="1">
      <c r="A8" s="147" t="s">
        <v>24</v>
      </c>
      <c r="B8" s="147"/>
      <c r="C8" s="147"/>
      <c r="D8" s="210" t="s">
        <v>23</v>
      </c>
      <c r="E8" s="147"/>
      <c r="F8" s="147"/>
    </row>
    <row r="9" spans="1:7" s="211" customFormat="1" ht="12.75" customHeight="1">
      <c r="A9" s="147"/>
      <c r="B9" s="147"/>
      <c r="C9" s="147"/>
      <c r="D9" s="212" t="s">
        <v>1723</v>
      </c>
      <c r="E9" s="147" t="s">
        <v>3308</v>
      </c>
      <c r="F9" s="131"/>
    </row>
    <row r="10" spans="1:7" s="211" customFormat="1" ht="12.75" customHeight="1">
      <c r="A10" s="147" t="s">
        <v>3313</v>
      </c>
      <c r="B10" s="147"/>
      <c r="C10" s="147"/>
      <c r="D10" s="212" t="s">
        <v>1340</v>
      </c>
      <c r="E10" s="212" t="s">
        <v>3240</v>
      </c>
      <c r="F10" s="131"/>
    </row>
    <row r="11" spans="1:7" s="211" customFormat="1" ht="12.75" customHeight="1">
      <c r="A11" s="147"/>
      <c r="B11" s="147"/>
      <c r="C11" s="147"/>
      <c r="D11" s="212" t="s">
        <v>1341</v>
      </c>
      <c r="E11" s="212" t="s">
        <v>1094</v>
      </c>
      <c r="F11" s="131"/>
    </row>
    <row r="12" spans="1:7" s="211" customFormat="1" ht="12.75" customHeight="1">
      <c r="A12" s="147"/>
      <c r="B12" s="147"/>
      <c r="C12" s="147"/>
      <c r="D12" s="212" t="s">
        <v>2136</v>
      </c>
      <c r="E12" s="212" t="s">
        <v>3309</v>
      </c>
      <c r="F12" s="131"/>
    </row>
    <row r="13" spans="1:7" s="211" customFormat="1" ht="12.75" customHeight="1">
      <c r="A13" s="147"/>
      <c r="B13" s="147"/>
      <c r="C13" s="147"/>
      <c r="D13" s="147"/>
      <c r="E13" s="131"/>
      <c r="F13" s="147"/>
    </row>
    <row r="14" spans="1:7" s="211" customFormat="1" ht="12.75" customHeight="1">
      <c r="B14" s="147"/>
      <c r="C14" s="147"/>
      <c r="D14" s="147"/>
      <c r="E14" s="147"/>
      <c r="F14" s="147"/>
    </row>
    <row r="15" spans="1:7" s="213" customFormat="1" ht="12.75" customHeight="1">
      <c r="A15" s="147"/>
      <c r="B15" s="147"/>
      <c r="C15" s="147"/>
      <c r="D15" s="147"/>
      <c r="E15" s="147"/>
      <c r="F15" s="147"/>
    </row>
    <row r="16" spans="1:7" s="213" customFormat="1">
      <c r="A16" s="91" t="s">
        <v>1122</v>
      </c>
      <c r="B16" s="91" t="s">
        <v>1098</v>
      </c>
      <c r="C16" s="92" t="s">
        <v>14</v>
      </c>
      <c r="D16" s="90"/>
      <c r="E16" s="91"/>
      <c r="F16" s="94" t="s">
        <v>13</v>
      </c>
      <c r="G16" s="214"/>
    </row>
    <row r="17" spans="1:7" s="213" customFormat="1" ht="12.75" customHeight="1">
      <c r="A17" s="215"/>
      <c r="B17" s="216"/>
      <c r="C17" s="217"/>
      <c r="D17" s="216"/>
      <c r="E17" s="218"/>
      <c r="F17" s="219"/>
      <c r="G17" s="214"/>
    </row>
    <row r="18" spans="1:7" s="211" customFormat="1" ht="12.75" customHeight="1">
      <c r="A18" s="220"/>
      <c r="B18" s="145"/>
      <c r="C18" s="95" t="s">
        <v>3314</v>
      </c>
      <c r="D18" s="147"/>
      <c r="E18" s="147"/>
      <c r="F18" s="147"/>
      <c r="G18" s="221"/>
    </row>
    <row r="19" spans="1:7" s="211" customFormat="1" ht="12.75" customHeight="1">
      <c r="A19" s="220"/>
      <c r="B19" s="145"/>
      <c r="C19" s="147"/>
      <c r="D19" s="147"/>
      <c r="E19" s="147"/>
      <c r="F19" s="147"/>
      <c r="G19" s="221"/>
    </row>
    <row r="20" spans="1:7" s="224" customFormat="1" ht="12.75" customHeight="1">
      <c r="A20" s="281" t="s">
        <v>3315</v>
      </c>
      <c r="B20" s="281" t="s">
        <v>3316</v>
      </c>
      <c r="C20" s="147" t="s">
        <v>3317</v>
      </c>
      <c r="F20" s="147">
        <v>1200</v>
      </c>
    </row>
    <row r="21" spans="1:7" s="224" customFormat="1" ht="12.75" customHeight="1">
      <c r="A21" s="220"/>
      <c r="B21" s="223"/>
      <c r="C21" s="147" t="s">
        <v>3318</v>
      </c>
      <c r="D21" s="147"/>
      <c r="E21" s="147"/>
      <c r="F21" s="147"/>
    </row>
    <row r="22" spans="1:7" s="211" customFormat="1" ht="12.75" customHeight="1">
      <c r="A22" s="222"/>
      <c r="B22" s="223"/>
      <c r="C22" s="147"/>
      <c r="D22" s="224"/>
      <c r="E22" s="224"/>
      <c r="F22" s="147"/>
      <c r="G22" s="221"/>
    </row>
    <row r="23" spans="1:7" s="211" customFormat="1" ht="12.75" customHeight="1">
      <c r="A23" s="225"/>
      <c r="B23" s="223"/>
      <c r="C23" s="147"/>
      <c r="F23" s="147"/>
      <c r="G23" s="221"/>
    </row>
    <row r="24" spans="1:7" s="224" customFormat="1" ht="12.75" customHeight="1">
      <c r="A24" s="222"/>
      <c r="B24" s="223"/>
      <c r="C24" s="147"/>
      <c r="D24" s="147"/>
      <c r="E24" s="147"/>
      <c r="F24" s="147"/>
    </row>
    <row r="25" spans="1:7" s="224" customFormat="1" ht="12.75" customHeight="1">
      <c r="A25" s="222"/>
      <c r="B25" s="223"/>
      <c r="C25" s="147"/>
      <c r="F25" s="147"/>
    </row>
    <row r="26" spans="1:7" s="224" customFormat="1" ht="12.75" customHeight="1">
      <c r="A26" s="222"/>
      <c r="B26" s="223"/>
      <c r="F26" s="147"/>
    </row>
    <row r="27" spans="1:7" s="224" customFormat="1" ht="12.75" customHeight="1">
      <c r="A27" s="222"/>
      <c r="B27" s="223"/>
      <c r="F27" s="147"/>
    </row>
    <row r="28" spans="1:7" s="224" customFormat="1" ht="12.75" customHeight="1">
      <c r="A28" s="222"/>
      <c r="B28" s="223"/>
      <c r="F28" s="147"/>
    </row>
    <row r="29" spans="1:7" s="224" customFormat="1" ht="12.75" customHeight="1">
      <c r="A29" s="222"/>
      <c r="B29" s="223"/>
      <c r="C29" s="147"/>
      <c r="F29" s="147"/>
    </row>
    <row r="30" spans="1:7" s="227" customFormat="1" ht="12.75" customHeight="1">
      <c r="A30" s="225"/>
      <c r="B30" s="223"/>
      <c r="C30" s="147"/>
      <c r="D30" s="147"/>
      <c r="E30" s="147"/>
      <c r="F30" s="147"/>
    </row>
    <row r="31" spans="1:7" s="227" customFormat="1" ht="12.75" customHeight="1">
      <c r="A31" s="222"/>
      <c r="B31" s="223"/>
      <c r="C31" s="147"/>
      <c r="D31" s="224"/>
      <c r="E31" s="224"/>
      <c r="F31" s="147"/>
    </row>
    <row r="32" spans="1:7" ht="12.75" customHeight="1">
      <c r="A32" s="222"/>
      <c r="B32" s="145"/>
      <c r="C32" s="147"/>
      <c r="D32" s="131"/>
      <c r="E32" s="131"/>
      <c r="F32" s="131"/>
    </row>
    <row r="33" spans="1:7" s="211" customFormat="1" ht="12.75" customHeight="1">
      <c r="A33" s="228"/>
      <c r="B33" s="228"/>
      <c r="C33" s="147"/>
      <c r="D33" s="131"/>
      <c r="E33" s="131"/>
      <c r="F33" s="131"/>
      <c r="G33" s="221"/>
    </row>
    <row r="34" spans="1:7" s="211" customFormat="1" ht="12.75" customHeight="1">
      <c r="A34" s="222"/>
      <c r="B34" s="145"/>
      <c r="C34" s="147"/>
      <c r="D34" s="147"/>
      <c r="E34" s="147"/>
      <c r="F34" s="147"/>
      <c r="G34" s="221"/>
    </row>
    <row r="35" spans="1:7" s="211" customFormat="1" ht="12.75" customHeight="1">
      <c r="A35" s="225"/>
      <c r="B35" s="145"/>
      <c r="C35" s="147"/>
      <c r="D35" s="147"/>
      <c r="E35" s="147"/>
      <c r="F35" s="147"/>
      <c r="G35" s="221"/>
    </row>
    <row r="36" spans="1:7" s="211" customFormat="1" ht="15.75" customHeight="1" thickBot="1">
      <c r="A36" s="229"/>
      <c r="B36" s="224"/>
      <c r="C36" s="224"/>
      <c r="D36" s="224"/>
      <c r="E36" s="224"/>
      <c r="F36" s="230">
        <f>SUM(F18:F35)</f>
        <v>1200</v>
      </c>
      <c r="G36" s="221"/>
    </row>
    <row r="37" spans="1:7" s="211" customFormat="1" ht="12.75" customHeight="1" thickTop="1">
      <c r="A37" s="229"/>
      <c r="B37" s="224"/>
      <c r="C37" s="224"/>
      <c r="D37" s="224"/>
      <c r="E37" s="224"/>
      <c r="F37" s="224"/>
      <c r="G37" s="221"/>
    </row>
    <row r="38" spans="1:7" ht="20.100000000000001" customHeight="1">
      <c r="A38" s="138" t="s">
        <v>1133</v>
      </c>
      <c r="B38" s="204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One Thousand Two Hundred and NO/100 -----------</v>
      </c>
      <c r="C38" s="231"/>
      <c r="D38" s="231"/>
      <c r="E38" s="231"/>
      <c r="F38" s="231"/>
    </row>
    <row r="39" spans="1:7" ht="12.75" customHeight="1">
      <c r="A39" s="232"/>
    </row>
    <row r="40" spans="1:7" ht="27" customHeight="1">
      <c r="A40" s="131" t="s">
        <v>10</v>
      </c>
      <c r="B40" s="131"/>
      <c r="C40" s="131"/>
      <c r="D40" s="283" t="s">
        <v>2894</v>
      </c>
      <c r="E40" s="284"/>
      <c r="F40" s="285"/>
    </row>
    <row r="41" spans="1:7" ht="12.75" customHeight="1">
      <c r="A41" s="131"/>
      <c r="B41" s="131"/>
      <c r="C41" s="131"/>
      <c r="D41" s="131"/>
      <c r="E41" s="131"/>
      <c r="F41" s="131"/>
    </row>
    <row r="42" spans="1:7" ht="12.75" customHeight="1">
      <c r="A42" s="131"/>
      <c r="B42" s="131"/>
      <c r="C42" s="131"/>
      <c r="D42" s="131"/>
      <c r="E42" s="131"/>
      <c r="F42" s="131"/>
    </row>
    <row r="43" spans="1:7">
      <c r="A43" s="301"/>
      <c r="B43" s="131"/>
      <c r="C43" s="131"/>
      <c r="D43" s="291"/>
      <c r="E43" s="291"/>
      <c r="F43" s="291"/>
    </row>
    <row r="44" spans="1:7">
      <c r="A44" s="248"/>
      <c r="B44" s="142"/>
      <c r="C44" s="131"/>
      <c r="D44" s="286"/>
      <c r="E44" s="287"/>
      <c r="F44" s="287"/>
    </row>
    <row r="45" spans="1:7" ht="12.75" customHeight="1">
      <c r="A45" s="301"/>
      <c r="B45" s="301"/>
      <c r="C45" s="131"/>
      <c r="D45" s="131"/>
      <c r="E45" s="131"/>
      <c r="F45" s="144"/>
    </row>
    <row r="46" spans="1:7" ht="12.75" customHeight="1">
      <c r="A46" s="301"/>
      <c r="B46" s="301"/>
      <c r="C46" s="131"/>
      <c r="D46" s="131"/>
      <c r="E46" s="131"/>
      <c r="F46" s="144"/>
    </row>
    <row r="47" spans="1:7" ht="12.75" customHeight="1">
      <c r="A47" s="143" t="s">
        <v>8</v>
      </c>
      <c r="B47" s="131"/>
      <c r="C47" s="131"/>
      <c r="D47" s="131"/>
      <c r="E47" s="131"/>
      <c r="F47" s="131"/>
    </row>
    <row r="48" spans="1:7" ht="12.75" customHeight="1">
      <c r="A48" s="301"/>
      <c r="B48" s="131"/>
      <c r="C48" s="131"/>
      <c r="D48" s="143" t="s">
        <v>7</v>
      </c>
      <c r="E48" s="131"/>
      <c r="F48" s="131"/>
    </row>
    <row r="49" spans="1:6" ht="12.75" customHeight="1">
      <c r="A49" s="143"/>
      <c r="B49" s="131"/>
      <c r="C49" s="131"/>
      <c r="D49" s="131"/>
      <c r="E49" s="131"/>
      <c r="F49" s="131"/>
    </row>
    <row r="50" spans="1:6" ht="12.75" customHeight="1">
      <c r="A50" s="143"/>
      <c r="B50" s="131"/>
      <c r="C50" s="131"/>
      <c r="D50" s="131"/>
      <c r="E50" s="131"/>
      <c r="F50" s="131"/>
    </row>
    <row r="51" spans="1:6" s="211" customFormat="1" ht="12.75" customHeight="1">
      <c r="A51" s="143"/>
      <c r="B51" s="131"/>
      <c r="C51" s="131"/>
      <c r="D51" s="131"/>
      <c r="E51" s="147"/>
      <c r="F51" s="147"/>
    </row>
    <row r="52" spans="1:6" ht="12.75" customHeight="1">
      <c r="A52" s="248"/>
      <c r="B52" s="142"/>
      <c r="C52" s="131"/>
      <c r="D52" s="142"/>
      <c r="E52" s="142"/>
      <c r="F52" s="142"/>
    </row>
    <row r="53" spans="1:6" ht="15" customHeight="1">
      <c r="A53" s="143" t="s">
        <v>2948</v>
      </c>
      <c r="B53" s="146"/>
      <c r="C53" s="147"/>
      <c r="D53" s="147" t="s">
        <v>3</v>
      </c>
      <c r="E53" s="131"/>
      <c r="F53" s="131"/>
    </row>
    <row r="54" spans="1:6" ht="12.75" customHeight="1">
      <c r="A54" s="143"/>
      <c r="B54" s="131"/>
      <c r="C54" s="131"/>
      <c r="D54" s="131" t="s">
        <v>2</v>
      </c>
      <c r="E54" s="131"/>
      <c r="F54" s="131"/>
    </row>
    <row r="55" spans="1:6" ht="12.75" customHeight="1">
      <c r="A55" s="131"/>
      <c r="B55" s="131"/>
      <c r="C55" s="131"/>
      <c r="D55" s="131"/>
      <c r="E55" s="131"/>
      <c r="F55" s="131"/>
    </row>
    <row r="56" spans="1:6" ht="12.75" customHeight="1">
      <c r="A56" s="131"/>
      <c r="B56" s="131"/>
      <c r="C56" s="131"/>
      <c r="D56" s="110" t="s">
        <v>1</v>
      </c>
      <c r="E56" s="131"/>
      <c r="F56" s="131"/>
    </row>
    <row r="57" spans="1:6" ht="12.75" customHeight="1">
      <c r="A57" s="131"/>
      <c r="B57" s="131"/>
      <c r="C57" s="131"/>
      <c r="D57" s="110" t="s">
        <v>0</v>
      </c>
      <c r="E57" s="131"/>
      <c r="F57" s="131"/>
    </row>
    <row r="58" spans="1:6" ht="12.75" customHeight="1">
      <c r="A58" s="131"/>
      <c r="B58" s="131"/>
      <c r="C58" s="131"/>
      <c r="D58" s="131"/>
      <c r="E58" s="131"/>
      <c r="F58" s="131"/>
    </row>
    <row r="59" spans="1:6" ht="12.75" customHeight="1">
      <c r="A59" s="131"/>
      <c r="B59" s="131"/>
      <c r="C59" s="131"/>
      <c r="D59" s="131"/>
      <c r="E59" s="131"/>
      <c r="F59" s="131"/>
    </row>
    <row r="60" spans="1:6">
      <c r="A60" s="131"/>
      <c r="B60" s="131"/>
      <c r="C60" s="131"/>
      <c r="D60" s="131"/>
      <c r="E60" s="131"/>
      <c r="F60" s="131"/>
    </row>
    <row r="61" spans="1:6">
      <c r="A61" s="131"/>
      <c r="B61" s="131"/>
      <c r="C61" s="131"/>
      <c r="D61" s="131"/>
      <c r="E61" s="131"/>
      <c r="F61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1-000000000000}">
  <sheetPr codeName="Sheet355">
    <pageSetUpPr fitToPage="1"/>
  </sheetPr>
  <dimension ref="A1:F52"/>
  <sheetViews>
    <sheetView topLeftCell="A4" workbookViewId="0">
      <selection activeCell="G9" sqref="G9:G13"/>
    </sheetView>
  </sheetViews>
  <sheetFormatPr defaultRowHeight="12.75"/>
  <cols>
    <col min="1" max="1" width="15.42578125" style="131" customWidth="1"/>
    <col min="2" max="2" width="15" style="131" customWidth="1"/>
    <col min="3" max="3" width="21" style="131" customWidth="1"/>
    <col min="4" max="4" width="12.28515625" style="131" customWidth="1"/>
    <col min="5" max="5" width="9.285156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1716</v>
      </c>
      <c r="E9" s="131" t="s">
        <v>3257</v>
      </c>
    </row>
    <row r="10" spans="1:6">
      <c r="A10" s="131" t="s">
        <v>3259</v>
      </c>
      <c r="D10" s="132" t="s">
        <v>1162</v>
      </c>
      <c r="E10" s="143" t="s">
        <v>3240</v>
      </c>
    </row>
    <row r="11" spans="1:6">
      <c r="D11" s="132" t="s">
        <v>1163</v>
      </c>
      <c r="E11" s="132" t="s">
        <v>1094</v>
      </c>
    </row>
    <row r="12" spans="1:6">
      <c r="D12" s="132" t="s">
        <v>1096</v>
      </c>
      <c r="E12" s="140" t="s">
        <v>3258</v>
      </c>
    </row>
    <row r="16" spans="1:6" s="95" customFormat="1" ht="20.100000000000001" customHeight="1">
      <c r="A16" s="90" t="s">
        <v>1113</v>
      </c>
      <c r="B16" s="90" t="s">
        <v>1114</v>
      </c>
      <c r="C16" s="92" t="s">
        <v>14</v>
      </c>
      <c r="D16" s="90"/>
      <c r="E16" s="93"/>
      <c r="F16" s="94" t="s">
        <v>13</v>
      </c>
    </row>
    <row r="18" spans="1:6">
      <c r="C18" s="95" t="s">
        <v>3124</v>
      </c>
    </row>
    <row r="19" spans="1:6">
      <c r="A19" s="158"/>
      <c r="B19" s="141"/>
      <c r="C19" s="95"/>
    </row>
    <row r="20" spans="1:6">
      <c r="A20" s="158" t="s">
        <v>3260</v>
      </c>
      <c r="B20" s="158" t="s">
        <v>3261</v>
      </c>
      <c r="C20" s="131" t="s">
        <v>3262</v>
      </c>
      <c r="F20" s="131">
        <v>100</v>
      </c>
    </row>
    <row r="23" spans="1:6">
      <c r="A23" s="141"/>
      <c r="B23" s="158"/>
    </row>
    <row r="24" spans="1:6">
      <c r="A24" s="158"/>
      <c r="B24" s="158"/>
    </row>
    <row r="25" spans="1:6">
      <c r="A25" s="158"/>
      <c r="B25" s="158"/>
    </row>
    <row r="26" spans="1:6">
      <c r="A26" s="158"/>
      <c r="B26" s="158"/>
    </row>
    <row r="27" spans="1:6">
      <c r="A27" s="141"/>
      <c r="B27" s="141"/>
    </row>
    <row r="28" spans="1:6">
      <c r="A28" s="158"/>
      <c r="B28" s="158"/>
      <c r="C28" s="110"/>
    </row>
    <row r="29" spans="1:6">
      <c r="F29" s="110"/>
    </row>
    <row r="30" spans="1:6">
      <c r="A30" s="158"/>
      <c r="B30" s="158"/>
    </row>
    <row r="31" spans="1:6">
      <c r="B31" s="140"/>
    </row>
    <row r="33" spans="1:6" ht="13.5" thickBot="1">
      <c r="F33" s="164">
        <f>SUM(F18:F32)</f>
        <v>100</v>
      </c>
    </row>
    <row r="34" spans="1:6" ht="13.5" thickTop="1"/>
    <row r="35" spans="1:6" ht="20.100000000000001" customHeight="1">
      <c r="A35" s="13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Hundred and NO/100 -----------</v>
      </c>
      <c r="C35" s="139"/>
      <c r="D35" s="139"/>
      <c r="E35" s="139"/>
      <c r="F35" s="262"/>
    </row>
    <row r="36" spans="1:6">
      <c r="A36" s="140"/>
    </row>
    <row r="37" spans="1:6" ht="25.5">
      <c r="A37" s="143" t="s">
        <v>10</v>
      </c>
      <c r="D37" s="265" t="s">
        <v>2894</v>
      </c>
      <c r="E37" s="266"/>
      <c r="F37" s="267"/>
    </row>
    <row r="38" spans="1:6">
      <c r="A38" s="143"/>
    </row>
    <row r="39" spans="1:6">
      <c r="A39" s="147"/>
    </row>
    <row r="40" spans="1:6">
      <c r="A40" s="143"/>
      <c r="C40" s="141"/>
    </row>
    <row r="41" spans="1:6">
      <c r="A41" s="248"/>
      <c r="B41" s="142"/>
    </row>
    <row r="42" spans="1:6">
      <c r="A42" s="143"/>
    </row>
    <row r="43" spans="1:6">
      <c r="A43" s="143" t="s">
        <v>8</v>
      </c>
      <c r="D43" s="143" t="s">
        <v>7</v>
      </c>
      <c r="F43" s="144"/>
    </row>
    <row r="44" spans="1:6">
      <c r="A44" s="143"/>
    </row>
    <row r="45" spans="1:6">
      <c r="A45" s="143"/>
    </row>
    <row r="46" spans="1:6">
      <c r="A46" s="143"/>
    </row>
    <row r="47" spans="1:6">
      <c r="A47" s="248"/>
      <c r="B47" s="142"/>
      <c r="D47" s="142"/>
      <c r="E47" s="142"/>
      <c r="F47" s="142"/>
    </row>
    <row r="48" spans="1:6" s="147" customFormat="1" ht="17.100000000000001" customHeight="1">
      <c r="A48" s="145" t="s">
        <v>2948</v>
      </c>
      <c r="B48" s="146"/>
      <c r="D48" s="147" t="s">
        <v>3</v>
      </c>
    </row>
    <row r="49" spans="1:4">
      <c r="A49" s="143"/>
      <c r="D49" s="131" t="s">
        <v>2</v>
      </c>
    </row>
    <row r="50" spans="1:4">
      <c r="A50" s="145"/>
    </row>
    <row r="51" spans="1:4">
      <c r="D51" s="110" t="s">
        <v>1</v>
      </c>
    </row>
    <row r="52" spans="1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1-000000000000}">
  <sheetPr codeName="Sheet356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5.42578125" style="111" customWidth="1"/>
    <col min="3" max="3" width="23" style="111" customWidth="1"/>
    <col min="4" max="4" width="12" style="111" customWidth="1"/>
    <col min="5" max="5" width="9.710937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1239</v>
      </c>
      <c r="E9" s="126" t="s">
        <v>3308</v>
      </c>
    </row>
    <row r="10" spans="1:6">
      <c r="A10" s="111" t="s">
        <v>1151</v>
      </c>
      <c r="D10" s="112" t="s">
        <v>1124</v>
      </c>
      <c r="E10" s="160" t="s">
        <v>3240</v>
      </c>
    </row>
    <row r="11" spans="1:6">
      <c r="A11" s="111" t="s">
        <v>1152</v>
      </c>
      <c r="D11" s="112" t="s">
        <v>1125</v>
      </c>
      <c r="E11" s="160" t="s">
        <v>1094</v>
      </c>
    </row>
    <row r="12" spans="1:6">
      <c r="A12" s="111" t="s">
        <v>1153</v>
      </c>
      <c r="D12" s="112" t="s">
        <v>1096</v>
      </c>
      <c r="E12" s="160" t="s">
        <v>3309</v>
      </c>
    </row>
    <row r="13" spans="1:6">
      <c r="A13" s="111" t="s">
        <v>1154</v>
      </c>
    </row>
    <row r="14" spans="1:6">
      <c r="A14" s="111" t="s">
        <v>1155</v>
      </c>
      <c r="B14" s="111" t="s">
        <v>1156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A18" s="116" t="s">
        <v>3282</v>
      </c>
      <c r="B18" s="116" t="s">
        <v>3310</v>
      </c>
      <c r="C18" s="111" t="s">
        <v>3311</v>
      </c>
      <c r="F18" s="111">
        <v>170</v>
      </c>
    </row>
    <row r="20" spans="1:6">
      <c r="C20" s="111" t="s">
        <v>3312</v>
      </c>
      <c r="F20" s="111">
        <v>60</v>
      </c>
    </row>
    <row r="21" spans="1:6">
      <c r="A21" s="116"/>
      <c r="B21" s="116"/>
    </row>
    <row r="22" spans="1:6">
      <c r="C22" s="111" t="s">
        <v>1814</v>
      </c>
      <c r="F22" s="111">
        <f>SUM(F18:F20)*6%</f>
        <v>13.799999999999999</v>
      </c>
    </row>
    <row r="23" spans="1:6">
      <c r="A23" s="116"/>
      <c r="B23" s="116"/>
    </row>
    <row r="28" spans="1:6">
      <c r="C28" s="167"/>
    </row>
    <row r="30" spans="1:6">
      <c r="A30" s="153"/>
    </row>
    <row r="31" spans="1:6">
      <c r="A31" s="153"/>
    </row>
    <row r="32" spans="1:6">
      <c r="A32" s="153"/>
    </row>
    <row r="33" spans="1:6">
      <c r="A33" s="153"/>
    </row>
    <row r="34" spans="1:6">
      <c r="A34" s="153"/>
    </row>
    <row r="35" spans="1:6" ht="13.5" thickBot="1">
      <c r="A35" s="153"/>
      <c r="F35" s="117">
        <f>SUM(F18:F33)</f>
        <v>243.8</v>
      </c>
    </row>
    <row r="36" spans="1:6" ht="13.5" thickTop="1">
      <c r="A36" s="153"/>
    </row>
    <row r="37" spans="1:6" ht="20.100000000000001" customHeight="1">
      <c r="A37" s="118" t="s">
        <v>204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Hundred Forty-Three and 80/100 -----------</v>
      </c>
      <c r="C37" s="119"/>
      <c r="D37" s="119"/>
      <c r="E37" s="119"/>
      <c r="F37" s="119"/>
    </row>
    <row r="38" spans="1:6">
      <c r="A38" s="120" t="s">
        <v>11</v>
      </c>
    </row>
    <row r="39" spans="1:6" ht="25.5">
      <c r="A39" s="126" t="s">
        <v>10</v>
      </c>
      <c r="D39" s="265" t="s">
        <v>2894</v>
      </c>
      <c r="E39" s="266"/>
      <c r="F39" s="267"/>
    </row>
    <row r="42" spans="1:6">
      <c r="C42" s="121"/>
    </row>
    <row r="43" spans="1:6">
      <c r="A43" s="122"/>
      <c r="B43" s="122"/>
    </row>
    <row r="45" spans="1:6">
      <c r="A45" s="123" t="s">
        <v>8</v>
      </c>
      <c r="D45" s="123" t="s">
        <v>7</v>
      </c>
      <c r="F45" s="124"/>
    </row>
    <row r="49" spans="1:6">
      <c r="A49" s="122"/>
      <c r="B49" s="122"/>
      <c r="D49" s="122"/>
      <c r="E49" s="122"/>
      <c r="F49" s="122"/>
    </row>
    <row r="50" spans="1:6" s="126" customFormat="1" ht="17.100000000000001" customHeight="1">
      <c r="A50" s="151" t="s">
        <v>2948</v>
      </c>
      <c r="B50" s="125"/>
      <c r="D50" s="126" t="s">
        <v>3</v>
      </c>
    </row>
    <row r="51" spans="1:6">
      <c r="D51" s="111" t="s">
        <v>2</v>
      </c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3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1-000000000000}">
  <sheetPr codeName="Sheet357">
    <pageSetUpPr fitToPage="1"/>
  </sheetPr>
  <dimension ref="A1:F53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31" t="s">
        <v>3212</v>
      </c>
    </row>
    <row r="10" spans="1:6">
      <c r="A10" s="111" t="s">
        <v>3214</v>
      </c>
      <c r="D10" s="112" t="s">
        <v>1162</v>
      </c>
      <c r="E10" s="143" t="s">
        <v>3188</v>
      </c>
    </row>
    <row r="11" spans="1:6">
      <c r="A11" s="111" t="s">
        <v>3215</v>
      </c>
      <c r="D11" s="112" t="s">
        <v>1163</v>
      </c>
      <c r="E11" s="132" t="s">
        <v>1094</v>
      </c>
    </row>
    <row r="12" spans="1:6">
      <c r="A12" s="111" t="s">
        <v>3216</v>
      </c>
      <c r="D12" s="112" t="s">
        <v>1135</v>
      </c>
      <c r="E12" s="140" t="s">
        <v>3213</v>
      </c>
    </row>
    <row r="13" spans="1:6">
      <c r="A13" s="111" t="s">
        <v>1257</v>
      </c>
      <c r="E13" s="131"/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3176</v>
      </c>
    </row>
    <row r="19" spans="1:6">
      <c r="A19" s="161"/>
      <c r="B19" s="116"/>
    </row>
    <row r="20" spans="1:6">
      <c r="A20" s="116" t="s">
        <v>3211</v>
      </c>
      <c r="B20" s="116" t="s">
        <v>3217</v>
      </c>
      <c r="C20" s="111" t="s">
        <v>3218</v>
      </c>
      <c r="F20" s="111">
        <f>300*2*3</f>
        <v>1800</v>
      </c>
    </row>
    <row r="21" spans="1:6">
      <c r="C21" s="120" t="s">
        <v>3219</v>
      </c>
    </row>
    <row r="22" spans="1:6">
      <c r="C22" s="2"/>
    </row>
    <row r="24" spans="1:6">
      <c r="A24" s="116"/>
      <c r="B24" s="116"/>
    </row>
    <row r="29" spans="1:6">
      <c r="F29" s="2"/>
    </row>
    <row r="30" spans="1:6">
      <c r="F30" s="2"/>
    </row>
    <row r="31" spans="1:6">
      <c r="B31" s="120"/>
    </row>
    <row r="32" spans="1:6">
      <c r="B32" s="120"/>
    </row>
    <row r="34" spans="1:6" ht="13.5" thickBot="1">
      <c r="F34" s="127">
        <f>SUM(F20:F33)</f>
        <v>1800</v>
      </c>
    </row>
    <row r="35" spans="1:6" ht="13.5" thickTop="1"/>
    <row r="36" spans="1:6" ht="20.100000000000001" customHeight="1">
      <c r="A36" s="118" t="s">
        <v>1133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Eight Hundred and NO/100 -----------</v>
      </c>
      <c r="C36" s="119"/>
      <c r="D36" s="119"/>
      <c r="E36" s="119"/>
      <c r="F36" s="261"/>
    </row>
    <row r="37" spans="1:6">
      <c r="A37" s="120"/>
    </row>
    <row r="38" spans="1:6" ht="25.5">
      <c r="A38" s="123" t="s">
        <v>10</v>
      </c>
      <c r="D38" s="265" t="s">
        <v>2894</v>
      </c>
      <c r="E38" s="266"/>
      <c r="F38" s="267"/>
    </row>
    <row r="39" spans="1:6">
      <c r="A39" s="126"/>
      <c r="D39" s="279"/>
      <c r="E39" s="280"/>
      <c r="F39" s="280"/>
    </row>
    <row r="40" spans="1:6">
      <c r="A40" s="123"/>
    </row>
    <row r="41" spans="1:6">
      <c r="A41" s="123"/>
      <c r="C41" s="121"/>
    </row>
    <row r="42" spans="1:6">
      <c r="A42" s="150"/>
      <c r="B42" s="122"/>
    </row>
    <row r="44" spans="1:6">
      <c r="A44" s="123" t="s">
        <v>8</v>
      </c>
      <c r="D44" s="123" t="s">
        <v>7</v>
      </c>
      <c r="F44" s="124"/>
    </row>
    <row r="45" spans="1:6">
      <c r="A45" s="123"/>
    </row>
    <row r="46" spans="1:6">
      <c r="A46" s="123"/>
    </row>
    <row r="47" spans="1:6">
      <c r="A47" s="123"/>
    </row>
    <row r="48" spans="1:6">
      <c r="A48" s="150"/>
      <c r="B48" s="122"/>
      <c r="D48" s="122"/>
      <c r="E48" s="122"/>
      <c r="F48" s="122"/>
    </row>
    <row r="49" spans="1:4" s="126" customFormat="1" ht="17.100000000000001" customHeight="1">
      <c r="A49" s="151" t="s">
        <v>2948</v>
      </c>
      <c r="B49" s="125"/>
      <c r="D49" s="126" t="s">
        <v>3</v>
      </c>
    </row>
    <row r="50" spans="1:4">
      <c r="A50" s="151"/>
      <c r="D50" s="111" t="s">
        <v>2</v>
      </c>
    </row>
    <row r="51" spans="1:4">
      <c r="A51" s="123"/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3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1-000000000000}">
  <sheetPr codeName="Sheet289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85546875" style="131" customWidth="1"/>
    <col min="2" max="2" width="14.42578125" style="131" customWidth="1"/>
    <col min="3" max="3" width="21" style="131" customWidth="1"/>
    <col min="4" max="4" width="12.7109375" style="131" customWidth="1"/>
    <col min="5" max="5" width="8.425781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1110</v>
      </c>
      <c r="E9" s="131" t="s">
        <v>2441</v>
      </c>
    </row>
    <row r="10" spans="1:6">
      <c r="A10" s="131" t="s">
        <v>2442</v>
      </c>
      <c r="D10" s="132" t="s">
        <v>1685</v>
      </c>
      <c r="E10" s="132" t="s">
        <v>2440</v>
      </c>
    </row>
    <row r="11" spans="1:6">
      <c r="D11" s="132" t="s">
        <v>1187</v>
      </c>
      <c r="E11" s="132" t="s">
        <v>1094</v>
      </c>
    </row>
    <row r="12" spans="1:6">
      <c r="D12" s="132" t="s">
        <v>2148</v>
      </c>
      <c r="E12" s="132" t="s">
        <v>1270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8" spans="1:6">
      <c r="C18" s="110" t="s">
        <v>2443</v>
      </c>
    </row>
    <row r="19" spans="1:6">
      <c r="A19" s="163"/>
    </row>
    <row r="20" spans="1:6">
      <c r="A20" s="165" t="s">
        <v>2427</v>
      </c>
      <c r="B20" s="158" t="s">
        <v>2444</v>
      </c>
      <c r="C20" s="131" t="s">
        <v>2445</v>
      </c>
      <c r="F20" s="149">
        <f>3480*2.5578</f>
        <v>8901.1440000000002</v>
      </c>
    </row>
    <row r="21" spans="1:6">
      <c r="A21" s="165"/>
      <c r="B21" s="140"/>
      <c r="F21" s="149"/>
    </row>
    <row r="22" spans="1:6">
      <c r="C22" s="131" t="s">
        <v>2446</v>
      </c>
      <c r="F22" s="149">
        <f>348*2.5578</f>
        <v>890.11439999999993</v>
      </c>
    </row>
    <row r="23" spans="1:6">
      <c r="A23" s="162"/>
      <c r="F23" s="149"/>
    </row>
    <row r="24" spans="1:6">
      <c r="A24" s="162"/>
      <c r="B24" s="140"/>
      <c r="C24" s="131" t="s">
        <v>2447</v>
      </c>
      <c r="F24" s="131">
        <f>267.96*2.5578</f>
        <v>685.38808799999993</v>
      </c>
    </row>
    <row r="25" spans="1:6">
      <c r="A25" s="163"/>
      <c r="B25" s="140"/>
      <c r="C25" s="110"/>
      <c r="F25" s="149"/>
    </row>
    <row r="26" spans="1:6">
      <c r="A26" s="162"/>
      <c r="B26" s="140"/>
      <c r="C26" s="131" t="s">
        <v>1697</v>
      </c>
      <c r="F26" s="149">
        <v>10</v>
      </c>
    </row>
    <row r="27" spans="1:6">
      <c r="A27" s="162"/>
    </row>
    <row r="28" spans="1:6">
      <c r="A28" s="162"/>
    </row>
    <row r="33" spans="1:6" ht="13.5" thickBot="1">
      <c r="F33" s="164">
        <f>SUM(F20:F32)</f>
        <v>10486.646488</v>
      </c>
    </row>
    <row r="34" spans="1:6" ht="13.5" thickTop="1"/>
    <row r="35" spans="1:6" ht="20.100000000000001" customHeight="1">
      <c r="A35" s="138" t="s">
        <v>204</v>
      </c>
      <c r="B35" s="138" t="s">
        <v>2448</v>
      </c>
      <c r="C35" s="139"/>
      <c r="D35" s="139"/>
      <c r="E35" s="139"/>
      <c r="F35" s="139"/>
    </row>
    <row r="36" spans="1:6">
      <c r="A36" s="140" t="s">
        <v>11</v>
      </c>
    </row>
    <row r="37" spans="1:6">
      <c r="A37" s="131" t="s">
        <v>10</v>
      </c>
    </row>
    <row r="39" spans="1:6" ht="25.5">
      <c r="A39" s="147"/>
      <c r="D39" s="265" t="s">
        <v>2894</v>
      </c>
      <c r="E39" s="266"/>
      <c r="F39" s="267"/>
    </row>
    <row r="40" spans="1:6">
      <c r="A40" s="131" t="s">
        <v>52</v>
      </c>
      <c r="C40" s="141"/>
    </row>
    <row r="41" spans="1:6">
      <c r="A41" s="142"/>
      <c r="B41" s="142"/>
    </row>
    <row r="43" spans="1:6">
      <c r="A43" s="143" t="s">
        <v>8</v>
      </c>
      <c r="D43" s="143" t="s">
        <v>7</v>
      </c>
      <c r="F43" s="144"/>
    </row>
    <row r="47" spans="1:6">
      <c r="A47" s="142" t="s">
        <v>51</v>
      </c>
      <c r="B47" s="142"/>
      <c r="D47" s="142"/>
      <c r="E47" s="142"/>
      <c r="F47" s="142"/>
    </row>
    <row r="48" spans="1:6" s="147" customFormat="1" ht="17.100000000000001" customHeight="1">
      <c r="A48" s="146" t="s">
        <v>4</v>
      </c>
      <c r="B48" s="146"/>
      <c r="D48" s="147" t="s">
        <v>3</v>
      </c>
    </row>
    <row r="49" spans="1:4">
      <c r="D49" s="131" t="s">
        <v>2</v>
      </c>
    </row>
    <row r="50" spans="1:4">
      <c r="A50" s="145" t="s">
        <v>2948</v>
      </c>
    </row>
    <row r="51" spans="1:4">
      <c r="D51" s="110" t="s">
        <v>1</v>
      </c>
    </row>
    <row r="52" spans="1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1-000000000000}">
  <sheetPr codeName="Sheet358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2.140625" style="111" customWidth="1"/>
    <col min="3" max="3" width="23" style="111" customWidth="1"/>
    <col min="4" max="4" width="13.5703125" style="111" customWidth="1"/>
    <col min="5" max="5" width="9.5703125" style="111" customWidth="1"/>
    <col min="6" max="6" width="13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1090</v>
      </c>
      <c r="E9" s="111" t="s">
        <v>3195</v>
      </c>
    </row>
    <row r="10" spans="1:6">
      <c r="A10" s="111" t="s">
        <v>3197</v>
      </c>
      <c r="D10" s="112" t="s">
        <v>1340</v>
      </c>
      <c r="E10" s="112" t="s">
        <v>3188</v>
      </c>
    </row>
    <row r="11" spans="1:6">
      <c r="D11" s="112" t="s">
        <v>1341</v>
      </c>
      <c r="E11" s="112" t="s">
        <v>1094</v>
      </c>
    </row>
    <row r="12" spans="1:6">
      <c r="D12" s="112" t="s">
        <v>1135</v>
      </c>
      <c r="E12" s="112" t="s">
        <v>3196</v>
      </c>
    </row>
    <row r="16" spans="1:6" s="15" customFormat="1" ht="20.100000000000001" customHeight="1">
      <c r="A16" s="18" t="s">
        <v>1113</v>
      </c>
      <c r="B16" s="129" t="s">
        <v>1114</v>
      </c>
      <c r="C16" s="533" t="s">
        <v>14</v>
      </c>
      <c r="D16" s="533"/>
      <c r="E16" s="17"/>
      <c r="F16" s="16" t="s">
        <v>13</v>
      </c>
    </row>
    <row r="18" spans="1:6">
      <c r="A18" s="116"/>
      <c r="B18" s="116"/>
      <c r="C18" s="2" t="s">
        <v>3198</v>
      </c>
    </row>
    <row r="20" spans="1:6">
      <c r="A20" s="116"/>
      <c r="B20" s="121"/>
      <c r="C20" s="111" t="s">
        <v>3199</v>
      </c>
      <c r="F20" s="111">
        <v>250000</v>
      </c>
    </row>
    <row r="21" spans="1:6">
      <c r="A21" s="116"/>
      <c r="B21" s="121"/>
    </row>
    <row r="22" spans="1:6">
      <c r="A22" s="116"/>
      <c r="B22" s="121"/>
    </row>
    <row r="23" spans="1:6">
      <c r="A23" s="116"/>
      <c r="B23" s="116"/>
    </row>
    <row r="35" spans="1:6" ht="13.5" thickBot="1">
      <c r="F35" s="117">
        <f>SUM(F18:F34)</f>
        <v>250000</v>
      </c>
    </row>
    <row r="36" spans="1:6" ht="13.5" thickTop="1"/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>Two Hundred Fifty Thousand and NO/100 -----------</v>
      </c>
      <c r="C37" s="119"/>
      <c r="D37" s="119"/>
      <c r="E37" s="119"/>
      <c r="F37" s="119"/>
    </row>
    <row r="38" spans="1:6">
      <c r="A38" s="120" t="s">
        <v>11</v>
      </c>
    </row>
    <row r="39" spans="1:6" ht="25.5">
      <c r="A39" s="111" t="s">
        <v>10</v>
      </c>
      <c r="D39" s="265" t="s">
        <v>2894</v>
      </c>
      <c r="E39" s="266"/>
      <c r="F39" s="267"/>
    </row>
    <row r="41" spans="1:6">
      <c r="A41" s="126"/>
    </row>
    <row r="42" spans="1:6">
      <c r="C42" s="121"/>
    </row>
    <row r="43" spans="1:6">
      <c r="A43" s="122"/>
      <c r="B43" s="122"/>
    </row>
    <row r="45" spans="1:6">
      <c r="A45" s="123" t="s">
        <v>8</v>
      </c>
      <c r="D45" s="123" t="s">
        <v>7</v>
      </c>
      <c r="F45" s="124"/>
    </row>
    <row r="49" spans="1:6">
      <c r="A49" s="122"/>
      <c r="B49" s="122"/>
      <c r="D49" s="122"/>
      <c r="E49" s="122"/>
      <c r="F49" s="122"/>
    </row>
    <row r="50" spans="1:6" s="126" customFormat="1" ht="17.100000000000001" customHeight="1">
      <c r="A50" s="111" t="s">
        <v>2948</v>
      </c>
      <c r="B50" s="125"/>
      <c r="D50" s="126" t="s">
        <v>3</v>
      </c>
    </row>
    <row r="51" spans="1:6">
      <c r="D51" s="111" t="s">
        <v>2</v>
      </c>
    </row>
    <row r="52" spans="1:6">
      <c r="A52" s="151"/>
    </row>
    <row r="53" spans="1:6">
      <c r="D53" s="2" t="s">
        <v>1</v>
      </c>
    </row>
    <row r="54" spans="1:6">
      <c r="D54" s="2" t="s">
        <v>0</v>
      </c>
    </row>
  </sheetData>
  <mergeCells count="5">
    <mergeCell ref="A1:F1"/>
    <mergeCell ref="A2:F2"/>
    <mergeCell ref="A3:F3"/>
    <mergeCell ref="A4:F4"/>
    <mergeCell ref="C16:D16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19"/>
  <dimension ref="A1:H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" style="111" customWidth="1"/>
    <col min="2" max="2" width="12.42578125" style="111" customWidth="1"/>
    <col min="3" max="3" width="1" style="111" customWidth="1"/>
    <col min="4" max="4" width="21" style="111" customWidth="1"/>
    <col min="5" max="5" width="1.7109375" style="111" customWidth="1"/>
    <col min="6" max="6" width="16.42578125" style="111" customWidth="1"/>
    <col min="7" max="7" width="9" style="111" customWidth="1"/>
    <col min="8" max="8" width="13.28515625" style="11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1110</v>
      </c>
      <c r="G9" s="111" t="s">
        <v>4275</v>
      </c>
    </row>
    <row r="10" spans="1:8">
      <c r="A10" s="111" t="s">
        <v>4208</v>
      </c>
      <c r="F10" s="112" t="s">
        <v>1685</v>
      </c>
      <c r="G10" s="112" t="s">
        <v>4274</v>
      </c>
    </row>
    <row r="11" spans="1:8">
      <c r="A11" s="111" t="s">
        <v>4209</v>
      </c>
      <c r="F11" s="112" t="s">
        <v>1163</v>
      </c>
      <c r="G11" s="112" t="s">
        <v>1094</v>
      </c>
    </row>
    <row r="12" spans="1:8">
      <c r="A12" s="111" t="s">
        <v>4210</v>
      </c>
      <c r="F12" s="112" t="s">
        <v>1096</v>
      </c>
      <c r="G12" s="120" t="s">
        <v>4276</v>
      </c>
    </row>
    <row r="13" spans="1:8">
      <c r="A13" s="111" t="s">
        <v>1287</v>
      </c>
    </row>
    <row r="14" spans="1:8">
      <c r="A14" s="111" t="s">
        <v>4211</v>
      </c>
    </row>
    <row r="16" spans="1:8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54"/>
    </row>
    <row r="18" spans="1:8">
      <c r="D18" s="2" t="s">
        <v>4157</v>
      </c>
      <c r="E18" s="2"/>
    </row>
    <row r="19" spans="1:8">
      <c r="D19" s="2"/>
      <c r="E19" s="2"/>
    </row>
    <row r="20" spans="1:8">
      <c r="A20" s="156" t="s">
        <v>4277</v>
      </c>
      <c r="B20" s="116" t="s">
        <v>4278</v>
      </c>
      <c r="C20" s="116"/>
      <c r="D20" s="111" t="s">
        <v>4279</v>
      </c>
      <c r="H20" s="111">
        <f>9130*4.5</f>
        <v>41085</v>
      </c>
    </row>
    <row r="21" spans="1:8">
      <c r="A21" s="116"/>
      <c r="B21" s="116"/>
      <c r="C21" s="116"/>
      <c r="D21" s="111" t="s">
        <v>4212</v>
      </c>
    </row>
    <row r="22" spans="1:8">
      <c r="D22" s="111" t="s">
        <v>4280</v>
      </c>
    </row>
    <row r="23" spans="1:8">
      <c r="A23" s="156"/>
      <c r="B23" s="116"/>
      <c r="C23" s="116"/>
    </row>
    <row r="24" spans="1:8">
      <c r="A24" s="156"/>
      <c r="B24" s="116"/>
      <c r="C24" s="116"/>
    </row>
    <row r="25" spans="1:8">
      <c r="A25" s="156"/>
      <c r="B25" s="116"/>
      <c r="C25" s="116"/>
    </row>
    <row r="26" spans="1:8">
      <c r="A26" s="156"/>
      <c r="B26" s="116"/>
      <c r="C26" s="116"/>
      <c r="D26" s="2"/>
    </row>
    <row r="27" spans="1:8">
      <c r="A27" s="156"/>
      <c r="B27" s="116"/>
      <c r="C27" s="116"/>
    </row>
    <row r="28" spans="1:8">
      <c r="A28" s="116"/>
      <c r="B28" s="116"/>
      <c r="C28" s="116"/>
    </row>
    <row r="29" spans="1:8">
      <c r="A29" s="116"/>
      <c r="B29" s="121"/>
      <c r="C29" s="121"/>
    </row>
    <row r="30" spans="1:8">
      <c r="A30" s="120"/>
    </row>
    <row r="31" spans="1:8">
      <c r="A31" s="116"/>
      <c r="B31" s="121"/>
    </row>
    <row r="32" spans="1:8">
      <c r="D32" s="2"/>
      <c r="E32" s="2"/>
    </row>
    <row r="33" spans="1:8">
      <c r="D33" s="2"/>
      <c r="E33" s="2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16"/>
      <c r="B35" s="121"/>
      <c r="C35" s="1"/>
      <c r="E35" s="1"/>
      <c r="F35" s="1"/>
      <c r="G35" s="1"/>
    </row>
    <row r="36" spans="1:8">
      <c r="A36" s="154"/>
    </row>
    <row r="37" spans="1:8" ht="13.5" thickBot="1">
      <c r="A37" s="154"/>
      <c r="H37" s="127">
        <f>SUM(H20:H36)</f>
        <v>41085</v>
      </c>
    </row>
    <row r="38" spans="1:8" ht="13.5" thickTop="1">
      <c r="A38" s="154"/>
      <c r="H38" s="308"/>
    </row>
    <row r="39" spans="1:8" ht="20.100000000000001" customHeight="1">
      <c r="A39" s="118" t="s">
        <v>3440</v>
      </c>
      <c r="B39" s="202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Forty-One Thousand Eighty-Five and NO/100 -----------</v>
      </c>
      <c r="C39" s="202"/>
      <c r="D39" s="119"/>
      <c r="E39" s="119"/>
      <c r="F39" s="119"/>
      <c r="G39" s="119"/>
      <c r="H39" s="119"/>
    </row>
    <row r="40" spans="1:8">
      <c r="A40" s="120"/>
    </row>
    <row r="41" spans="1:8" ht="25.5">
      <c r="A41" s="111" t="s">
        <v>10</v>
      </c>
      <c r="F41" s="265" t="s">
        <v>2894</v>
      </c>
      <c r="G41" s="266"/>
      <c r="H41" s="267"/>
    </row>
    <row r="43" spans="1:8">
      <c r="F43" s="309"/>
      <c r="G43" s="309"/>
      <c r="H43" s="309"/>
    </row>
    <row r="44" spans="1:8">
      <c r="A44" s="123" t="s">
        <v>52</v>
      </c>
      <c r="D44" s="121"/>
      <c r="E44" s="121"/>
      <c r="F44" s="310"/>
      <c r="G44" s="311"/>
      <c r="H44" s="311"/>
    </row>
    <row r="45" spans="1:8">
      <c r="A45" s="35"/>
      <c r="B45" s="122"/>
    </row>
    <row r="46" spans="1:8">
      <c r="A46" s="123"/>
    </row>
    <row r="47" spans="1:8">
      <c r="A47" s="123" t="s">
        <v>8</v>
      </c>
      <c r="D47" s="123" t="s">
        <v>8</v>
      </c>
      <c r="F47" s="123" t="s">
        <v>7</v>
      </c>
      <c r="H47" s="124"/>
    </row>
    <row r="48" spans="1:8">
      <c r="A48" s="123"/>
      <c r="D48" s="123"/>
    </row>
    <row r="49" spans="1:8">
      <c r="A49" s="123"/>
      <c r="D49" s="123"/>
    </row>
    <row r="50" spans="1:8">
      <c r="A50" s="123"/>
      <c r="D50" s="123"/>
    </row>
    <row r="51" spans="1:8">
      <c r="A51" s="150"/>
      <c r="B51" s="122"/>
      <c r="D51" s="150"/>
      <c r="F51" s="122"/>
      <c r="G51" s="122"/>
      <c r="H51" s="122"/>
    </row>
    <row r="52" spans="1:8" s="3" customFormat="1" ht="17.100000000000001" customHeight="1">
      <c r="A52" s="151" t="s">
        <v>3441</v>
      </c>
      <c r="B52" s="125"/>
      <c r="C52" s="125"/>
      <c r="D52" s="151" t="s">
        <v>103</v>
      </c>
      <c r="E52" s="126"/>
      <c r="F52" s="126" t="s">
        <v>3</v>
      </c>
      <c r="G52" s="126"/>
      <c r="H52" s="126"/>
    </row>
    <row r="53" spans="1:8">
      <c r="F53" s="111" t="s">
        <v>2</v>
      </c>
    </row>
    <row r="55" spans="1:8">
      <c r="F55" s="2" t="s">
        <v>1</v>
      </c>
    </row>
    <row r="56" spans="1:8">
      <c r="F56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3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1-000000000000}">
  <sheetPr codeName="Sheet359">
    <pageSetUpPr fitToPage="1"/>
  </sheetPr>
  <dimension ref="A1:F53"/>
  <sheetViews>
    <sheetView topLeftCell="A7" workbookViewId="0">
      <selection activeCell="G9" sqref="G9:G13"/>
    </sheetView>
  </sheetViews>
  <sheetFormatPr defaultRowHeight="12.75"/>
  <cols>
    <col min="1" max="1" width="15.42578125" style="111" customWidth="1"/>
    <col min="2" max="2" width="14.5703125" style="111" customWidth="1"/>
    <col min="3" max="3" width="23" style="111" customWidth="1"/>
    <col min="4" max="4" width="12.85546875" style="111" customWidth="1"/>
    <col min="5" max="5" width="8.85546875" style="111" customWidth="1"/>
    <col min="6" max="6" width="13.57031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3732</v>
      </c>
    </row>
    <row r="10" spans="1:6">
      <c r="A10" s="111" t="s">
        <v>2851</v>
      </c>
      <c r="D10" s="112" t="s">
        <v>1162</v>
      </c>
      <c r="E10" s="123" t="s">
        <v>3709</v>
      </c>
    </row>
    <row r="11" spans="1:6">
      <c r="A11" s="111" t="s">
        <v>2852</v>
      </c>
      <c r="D11" s="112" t="s">
        <v>1187</v>
      </c>
      <c r="E11" s="112" t="s">
        <v>1094</v>
      </c>
    </row>
    <row r="12" spans="1:6">
      <c r="A12" s="111" t="s">
        <v>2853</v>
      </c>
      <c r="D12" s="112" t="s">
        <v>1188</v>
      </c>
      <c r="E12" s="120" t="s">
        <v>3733</v>
      </c>
    </row>
    <row r="13" spans="1:6">
      <c r="A13" s="111" t="s">
        <v>2854</v>
      </c>
      <c r="E13" s="131"/>
    </row>
    <row r="14" spans="1:6">
      <c r="A14" s="111" t="s">
        <v>1535</v>
      </c>
    </row>
    <row r="15" spans="1:6">
      <c r="A15" s="111" t="s">
        <v>2855</v>
      </c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8" spans="1:6">
      <c r="C18" s="2" t="s">
        <v>3182</v>
      </c>
    </row>
    <row r="19" spans="1:6">
      <c r="C19" s="2"/>
    </row>
    <row r="20" spans="1:6">
      <c r="A20" s="116" t="s">
        <v>3734</v>
      </c>
      <c r="B20" s="116" t="s">
        <v>3735</v>
      </c>
      <c r="C20" s="120" t="s">
        <v>3736</v>
      </c>
      <c r="F20" s="111">
        <f>22*55</f>
        <v>1210</v>
      </c>
    </row>
    <row r="21" spans="1:6">
      <c r="C21" s="111" t="s">
        <v>3190</v>
      </c>
    </row>
    <row r="22" spans="1:6">
      <c r="C22" s="120" t="s">
        <v>3737</v>
      </c>
      <c r="F22" s="111">
        <f>75*22</f>
        <v>1650</v>
      </c>
    </row>
    <row r="23" spans="1:6">
      <c r="C23" s="111" t="s">
        <v>3189</v>
      </c>
    </row>
    <row r="24" spans="1:6">
      <c r="C24" s="120" t="s">
        <v>3738</v>
      </c>
      <c r="F24" s="111">
        <v>22</v>
      </c>
    </row>
    <row r="25" spans="1:6">
      <c r="C25" s="111" t="s">
        <v>3739</v>
      </c>
    </row>
    <row r="26" spans="1:6">
      <c r="C26" s="111" t="s">
        <v>1814</v>
      </c>
      <c r="F26" s="111">
        <f>SUM(F20+F22+F24)*6%</f>
        <v>172.92</v>
      </c>
    </row>
    <row r="27" spans="1:6">
      <c r="C27" s="2"/>
    </row>
    <row r="28" spans="1:6">
      <c r="A28" s="116"/>
      <c r="B28" s="116"/>
      <c r="C28" s="120"/>
    </row>
    <row r="31" spans="1:6">
      <c r="B31" s="120"/>
    </row>
    <row r="32" spans="1:6">
      <c r="A32" s="116"/>
      <c r="B32" s="116"/>
      <c r="C32" s="120"/>
    </row>
    <row r="34" spans="1:6" ht="13.5" thickBot="1">
      <c r="F34" s="127">
        <f>SUM(F19:F33)</f>
        <v>3054.92</v>
      </c>
    </row>
    <row r="35" spans="1:6" ht="13.5" thickTop="1"/>
    <row r="36" spans="1:6" ht="20.100000000000001" customHeight="1">
      <c r="A36" s="118" t="s">
        <v>204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Three Thousand Fifty-Four and 92/100 -----------</v>
      </c>
      <c r="C36" s="119"/>
      <c r="D36" s="119"/>
      <c r="E36" s="119"/>
      <c r="F36" s="261"/>
    </row>
    <row r="37" spans="1:6">
      <c r="A37" s="120"/>
      <c r="F37" s="263"/>
    </row>
    <row r="38" spans="1:6" ht="25.5">
      <c r="A38" s="111" t="s">
        <v>10</v>
      </c>
      <c r="D38" s="265" t="s">
        <v>2894</v>
      </c>
      <c r="E38" s="266"/>
      <c r="F38" s="267"/>
    </row>
    <row r="39" spans="1:6">
      <c r="A39" s="126"/>
    </row>
    <row r="41" spans="1:6">
      <c r="C41" s="121"/>
    </row>
    <row r="42" spans="1:6">
      <c r="A42" s="122"/>
      <c r="B42" s="122"/>
    </row>
    <row r="43" spans="1:6">
      <c r="D43" s="123" t="s">
        <v>7</v>
      </c>
    </row>
    <row r="44" spans="1:6">
      <c r="A44" s="123" t="s">
        <v>8</v>
      </c>
      <c r="F44" s="124"/>
    </row>
    <row r="48" spans="1:6">
      <c r="A48" s="122"/>
      <c r="B48" s="122"/>
      <c r="D48" s="122"/>
      <c r="E48" s="122"/>
      <c r="F48" s="122"/>
    </row>
    <row r="49" spans="1:4" s="126" customFormat="1" ht="17.100000000000001" customHeight="1">
      <c r="A49" s="151" t="s">
        <v>2948</v>
      </c>
      <c r="B49" s="125"/>
      <c r="D49" s="126" t="s">
        <v>3</v>
      </c>
    </row>
    <row r="50" spans="1:4">
      <c r="A50" s="151"/>
      <c r="D50" s="111" t="s">
        <v>2</v>
      </c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3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1-000000000000}">
  <sheetPr codeName="Sheet360"/>
  <dimension ref="A1:P55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85546875" style="131" customWidth="1"/>
    <col min="2" max="2" width="12.7109375" style="131" customWidth="1"/>
    <col min="3" max="3" width="1.85546875" style="131" customWidth="1"/>
    <col min="4" max="4" width="23.85546875" style="131" customWidth="1"/>
    <col min="5" max="5" width="2.28515625" style="131" customWidth="1"/>
    <col min="6" max="6" width="12.85546875" style="131" customWidth="1"/>
    <col min="7" max="7" width="8.28515625" style="131" customWidth="1"/>
    <col min="8" max="8" width="12.7109375" style="131" customWidth="1"/>
    <col min="9" max="10" width="9.140625" style="131"/>
    <col min="11" max="11" width="9.7109375" style="131" bestFit="1" customWidth="1"/>
    <col min="12" max="16384" width="9.140625" style="131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1123</v>
      </c>
      <c r="G9" s="132" t="s">
        <v>5318</v>
      </c>
    </row>
    <row r="10" spans="1:8">
      <c r="A10" s="131" t="s">
        <v>2996</v>
      </c>
      <c r="F10" s="132" t="s">
        <v>1124</v>
      </c>
      <c r="G10" s="132" t="s">
        <v>5298</v>
      </c>
    </row>
    <row r="11" spans="1:8">
      <c r="A11" s="140" t="s">
        <v>2997</v>
      </c>
      <c r="F11" s="132" t="s">
        <v>1125</v>
      </c>
      <c r="G11" s="132" t="s">
        <v>1094</v>
      </c>
    </row>
    <row r="12" spans="1:8">
      <c r="A12" s="131" t="s">
        <v>2998</v>
      </c>
      <c r="F12" s="132" t="s">
        <v>1096</v>
      </c>
      <c r="G12" s="111" t="s">
        <v>5319</v>
      </c>
    </row>
    <row r="13" spans="1:8">
      <c r="A13" s="131" t="s">
        <v>2011</v>
      </c>
      <c r="G13" s="377"/>
    </row>
    <row r="14" spans="1:8">
      <c r="A14" s="131" t="s">
        <v>2999</v>
      </c>
    </row>
    <row r="16" spans="1:8" s="95" customFormat="1" ht="20.100000000000001" customHeight="1">
      <c r="A16" s="90" t="s">
        <v>1140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8" spans="1:16">
      <c r="C18" s="141"/>
      <c r="D18" s="110" t="s">
        <v>4968</v>
      </c>
      <c r="I18" s="250"/>
    </row>
    <row r="19" spans="1:16">
      <c r="A19" s="158"/>
      <c r="B19" s="158"/>
      <c r="C19" s="158"/>
      <c r="I19" s="250"/>
      <c r="M19" s="131" t="s">
        <v>3516</v>
      </c>
      <c r="P19" s="131">
        <v>4250</v>
      </c>
    </row>
    <row r="20" spans="1:16">
      <c r="A20" s="158" t="s">
        <v>5320</v>
      </c>
      <c r="B20" s="158" t="s">
        <v>5321</v>
      </c>
      <c r="C20" s="141"/>
      <c r="D20" s="131" t="s">
        <v>5322</v>
      </c>
      <c r="H20" s="131">
        <v>500</v>
      </c>
      <c r="I20" s="250"/>
    </row>
    <row r="21" spans="1:16">
      <c r="B21" s="140"/>
      <c r="C21" s="140"/>
      <c r="D21" s="131" t="s">
        <v>5323</v>
      </c>
      <c r="H21" s="131">
        <v>3000</v>
      </c>
      <c r="I21" s="250"/>
    </row>
    <row r="22" spans="1:16">
      <c r="A22" s="132"/>
    </row>
    <row r="23" spans="1:16">
      <c r="A23" s="132"/>
      <c r="B23" s="158"/>
      <c r="C23" s="158"/>
    </row>
    <row r="24" spans="1:16">
      <c r="A24" s="158"/>
      <c r="B24" s="141"/>
    </row>
    <row r="25" spans="1:16">
      <c r="A25" s="158"/>
      <c r="B25" s="141"/>
      <c r="C25" s="141"/>
    </row>
    <row r="26" spans="1:16">
      <c r="C26" s="141"/>
    </row>
    <row r="27" spans="1:16">
      <c r="A27" s="158"/>
      <c r="B27" s="158"/>
      <c r="C27" s="158"/>
    </row>
    <row r="28" spans="1:16">
      <c r="A28" s="158"/>
      <c r="B28" s="141"/>
      <c r="C28" s="141"/>
    </row>
    <row r="29" spans="1:16">
      <c r="B29" s="140"/>
      <c r="C29" s="140"/>
    </row>
    <row r="30" spans="1:16">
      <c r="A30" s="132"/>
    </row>
    <row r="31" spans="1:16">
      <c r="A31" s="132"/>
      <c r="B31" s="158"/>
      <c r="C31" s="158"/>
    </row>
    <row r="36" spans="1:8" ht="13.5" thickBot="1">
      <c r="H36" s="164">
        <f>SUM(H19:H35)</f>
        <v>3500</v>
      </c>
    </row>
    <row r="37" spans="1:8" ht="13.5" thickTop="1"/>
    <row r="38" spans="1:8" ht="20.100000000000001" customHeight="1">
      <c r="A38" s="138" t="s">
        <v>1133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Three Thousand Five Hundred and NO/100 -----------</v>
      </c>
      <c r="C38" s="202"/>
      <c r="D38" s="139"/>
      <c r="E38" s="139"/>
      <c r="F38" s="139"/>
      <c r="G38" s="139"/>
      <c r="H38" s="139"/>
    </row>
    <row r="39" spans="1:8">
      <c r="A39" s="140" t="s">
        <v>11</v>
      </c>
    </row>
    <row r="40" spans="1:8" ht="25.5">
      <c r="A40" s="131" t="s">
        <v>10</v>
      </c>
      <c r="F40" s="265" t="s">
        <v>2894</v>
      </c>
      <c r="G40" s="266"/>
      <c r="H40" s="267"/>
    </row>
    <row r="42" spans="1:8">
      <c r="A42" s="147"/>
    </row>
    <row r="43" spans="1:8">
      <c r="D43" s="141"/>
      <c r="E43" s="141"/>
    </row>
    <row r="44" spans="1:8">
      <c r="A44" s="142"/>
      <c r="B44" s="142"/>
    </row>
    <row r="46" spans="1:8">
      <c r="A46" s="143" t="s">
        <v>8</v>
      </c>
      <c r="D46" s="143"/>
      <c r="F46" s="143" t="s">
        <v>7</v>
      </c>
      <c r="H46" s="144"/>
    </row>
    <row r="50" spans="1:8">
      <c r="A50" s="142"/>
      <c r="B50" s="142"/>
      <c r="F50" s="142"/>
      <c r="G50" s="142"/>
      <c r="H50" s="142"/>
    </row>
    <row r="51" spans="1:8" s="147" customFormat="1" ht="17.100000000000001" customHeight="1">
      <c r="A51" s="145" t="s">
        <v>2948</v>
      </c>
      <c r="B51" s="146"/>
      <c r="C51" s="146"/>
      <c r="D51" s="145"/>
      <c r="F51" s="147" t="s">
        <v>3</v>
      </c>
    </row>
    <row r="52" spans="1:8">
      <c r="F52" s="131" t="s">
        <v>2</v>
      </c>
    </row>
    <row r="53" spans="1:8">
      <c r="A53" s="145"/>
    </row>
    <row r="54" spans="1:8">
      <c r="F54" s="110" t="s">
        <v>1</v>
      </c>
    </row>
    <row r="55" spans="1:8">
      <c r="F55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89" orientation="portrait" r:id="rId1"/>
  <headerFooter alignWithMargins="0"/>
</worksheet>
</file>

<file path=xl/worksheets/sheet3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1-000000000000}">
  <sheetPr codeName="Sheet290">
    <pageSetUpPr fitToPage="1"/>
  </sheetPr>
  <dimension ref="A1:H53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1.42578125" style="111" customWidth="1"/>
    <col min="4" max="4" width="23" style="111" customWidth="1"/>
    <col min="5" max="5" width="1.140625" style="111" customWidth="1"/>
    <col min="6" max="6" width="13.42578125" style="111" customWidth="1"/>
    <col min="7" max="7" width="9.5703125" style="111" customWidth="1"/>
    <col min="8" max="8" width="15.28515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11" t="s">
        <v>4775</v>
      </c>
    </row>
    <row r="10" spans="1:8">
      <c r="A10" s="111" t="s">
        <v>2637</v>
      </c>
      <c r="F10" s="112" t="s">
        <v>1162</v>
      </c>
      <c r="G10" s="166" t="s">
        <v>4760</v>
      </c>
    </row>
    <row r="11" spans="1:8">
      <c r="A11" s="111" t="s">
        <v>2638</v>
      </c>
      <c r="F11" s="112" t="s">
        <v>1163</v>
      </c>
      <c r="G11" s="112" t="s">
        <v>1094</v>
      </c>
    </row>
    <row r="12" spans="1:8">
      <c r="A12" s="111" t="s">
        <v>2639</v>
      </c>
      <c r="F12" s="112" t="s">
        <v>1135</v>
      </c>
      <c r="G12" s="112" t="s">
        <v>4776</v>
      </c>
    </row>
    <row r="13" spans="1:8">
      <c r="A13" s="111" t="s">
        <v>2640</v>
      </c>
      <c r="G13" s="131"/>
    </row>
    <row r="14" spans="1:8">
      <c r="A14" s="111" t="s">
        <v>2641</v>
      </c>
    </row>
    <row r="16" spans="1:8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3176</v>
      </c>
      <c r="E18" s="2"/>
    </row>
    <row r="19" spans="1:8">
      <c r="A19" s="161"/>
      <c r="B19" s="116"/>
      <c r="C19" s="116"/>
    </row>
    <row r="20" spans="1:8">
      <c r="A20" s="116" t="s">
        <v>4761</v>
      </c>
      <c r="B20" s="116" t="s">
        <v>4777</v>
      </c>
      <c r="C20" s="116"/>
      <c r="D20" s="111" t="s">
        <v>4778</v>
      </c>
      <c r="H20" s="111">
        <v>20325.560000000001</v>
      </c>
    </row>
    <row r="21" spans="1:8">
      <c r="D21" s="120" t="s">
        <v>1814</v>
      </c>
      <c r="E21" s="120"/>
      <c r="H21" s="111">
        <f>H20*6%</f>
        <v>1219.5336</v>
      </c>
    </row>
    <row r="22" spans="1:8">
      <c r="D22" s="2"/>
      <c r="E22" s="2"/>
    </row>
    <row r="24" spans="1:8">
      <c r="A24" s="116"/>
      <c r="B24" s="116"/>
      <c r="C24" s="116"/>
    </row>
    <row r="29" spans="1:8">
      <c r="H29" s="2"/>
    </row>
    <row r="30" spans="1:8">
      <c r="H30" s="2"/>
    </row>
    <row r="31" spans="1:8">
      <c r="B31" s="120"/>
      <c r="C31" s="120"/>
    </row>
    <row r="32" spans="1:8">
      <c r="B32" s="120"/>
      <c r="C32" s="120"/>
    </row>
    <row r="34" spans="1:8" ht="13.5" thickBot="1">
      <c r="H34" s="127">
        <f>SUM(H20:H33)</f>
        <v>21545.0936</v>
      </c>
    </row>
    <row r="35" spans="1:8" ht="13.5" thickTop="1"/>
    <row r="36" spans="1:8" ht="20.100000000000001" customHeight="1">
      <c r="A36" s="118" t="s">
        <v>1133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Twenty-One Thousand Five Hundred Forty-Five and 9/100 -----------</v>
      </c>
      <c r="C36" s="202"/>
      <c r="D36" s="119"/>
      <c r="E36" s="119"/>
      <c r="F36" s="119"/>
      <c r="G36" s="119"/>
      <c r="H36" s="261"/>
    </row>
    <row r="37" spans="1:8">
      <c r="A37" s="120"/>
    </row>
    <row r="38" spans="1:8" ht="25.5">
      <c r="A38" s="123" t="s">
        <v>10</v>
      </c>
      <c r="F38" s="265" t="s">
        <v>2894</v>
      </c>
      <c r="G38" s="266"/>
      <c r="H38" s="267"/>
    </row>
    <row r="39" spans="1:8">
      <c r="A39" s="126"/>
      <c r="F39" s="279"/>
      <c r="G39" s="280"/>
      <c r="H39" s="280"/>
    </row>
    <row r="40" spans="1:8">
      <c r="A40" s="123"/>
    </row>
    <row r="41" spans="1:8">
      <c r="A41" s="123"/>
      <c r="D41" s="121"/>
      <c r="E41" s="121"/>
    </row>
    <row r="42" spans="1:8">
      <c r="A42" s="150"/>
      <c r="B42" s="122"/>
    </row>
    <row r="44" spans="1:8">
      <c r="A44" s="123" t="s">
        <v>8</v>
      </c>
      <c r="D44" s="123" t="s">
        <v>8</v>
      </c>
      <c r="F44" s="123" t="s">
        <v>7</v>
      </c>
      <c r="H44" s="124"/>
    </row>
    <row r="45" spans="1:8">
      <c r="A45" s="123"/>
      <c r="D45" s="123"/>
    </row>
    <row r="46" spans="1:8">
      <c r="A46" s="123"/>
      <c r="D46" s="123"/>
    </row>
    <row r="47" spans="1:8">
      <c r="A47" s="123"/>
      <c r="D47" s="123"/>
    </row>
    <row r="48" spans="1:8">
      <c r="A48" s="150"/>
      <c r="B48" s="122"/>
      <c r="D48" s="150"/>
      <c r="F48" s="122"/>
      <c r="G48" s="122"/>
      <c r="H48" s="122"/>
    </row>
    <row r="49" spans="1:6" s="126" customFormat="1" ht="17.100000000000001" customHeight="1">
      <c r="A49" s="151" t="s">
        <v>2948</v>
      </c>
      <c r="B49" s="125"/>
      <c r="C49" s="125"/>
      <c r="D49" s="151" t="s">
        <v>103</v>
      </c>
      <c r="F49" s="126" t="s">
        <v>3</v>
      </c>
    </row>
    <row r="50" spans="1:6">
      <c r="A50" s="151"/>
      <c r="F50" s="111" t="s">
        <v>2</v>
      </c>
    </row>
    <row r="51" spans="1:6">
      <c r="A51" s="123"/>
    </row>
    <row r="52" spans="1:6">
      <c r="F52" s="2" t="s">
        <v>1</v>
      </c>
    </row>
    <row r="53" spans="1:6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1-000000000000}">
  <sheetPr codeName="Sheet291"/>
  <dimension ref="A1:R104"/>
  <sheetViews>
    <sheetView view="pageBreakPreview" topLeftCell="A3" zoomScale="115" zoomScaleNormal="100" zoomScaleSheetLayoutView="115" workbookViewId="0">
      <selection activeCell="G9" sqref="G9:G13"/>
    </sheetView>
  </sheetViews>
  <sheetFormatPr defaultRowHeight="12.75"/>
  <cols>
    <col min="1" max="1" width="15.85546875" style="131" customWidth="1"/>
    <col min="2" max="2" width="16.85546875" style="131" customWidth="1"/>
    <col min="3" max="3" width="0.7109375" style="131" customWidth="1"/>
    <col min="4" max="4" width="21" style="131" customWidth="1"/>
    <col min="5" max="5" width="1.28515625" style="131" customWidth="1"/>
    <col min="6" max="6" width="12.85546875" style="131" customWidth="1"/>
    <col min="7" max="7" width="8.28515625" style="131" customWidth="1"/>
    <col min="8" max="8" width="13.28515625" style="131" customWidth="1"/>
    <col min="9" max="9" width="9.140625" style="131"/>
    <col min="10" max="10" width="9.7109375" style="131" bestFit="1" customWidth="1"/>
    <col min="11" max="11" width="11.28515625" style="131" bestFit="1" customWidth="1"/>
    <col min="12" max="17" width="9.140625" style="131"/>
    <col min="18" max="18" width="12.28515625" style="131" bestFit="1" customWidth="1"/>
    <col min="19" max="16384" width="9.140625" style="131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1123</v>
      </c>
      <c r="G9" s="131" t="s">
        <v>5126</v>
      </c>
    </row>
    <row r="10" spans="1:8">
      <c r="A10" s="131" t="s">
        <v>3844</v>
      </c>
      <c r="F10" s="132" t="s">
        <v>1124</v>
      </c>
      <c r="G10" s="143" t="s">
        <v>5117</v>
      </c>
    </row>
    <row r="11" spans="1:8">
      <c r="A11" s="131" t="s">
        <v>2387</v>
      </c>
      <c r="F11" s="132" t="s">
        <v>1125</v>
      </c>
      <c r="G11" s="132" t="s">
        <v>1094</v>
      </c>
    </row>
    <row r="12" spans="1:8">
      <c r="A12" s="131" t="s">
        <v>2388</v>
      </c>
      <c r="F12" s="132" t="s">
        <v>1096</v>
      </c>
      <c r="G12" s="132" t="s">
        <v>5127</v>
      </c>
    </row>
    <row r="13" spans="1:8">
      <c r="A13" s="131" t="s">
        <v>2389</v>
      </c>
      <c r="G13" s="111"/>
    </row>
    <row r="14" spans="1:8">
      <c r="A14" s="131" t="s">
        <v>1588</v>
      </c>
    </row>
    <row r="16" spans="1:8" s="95" customFormat="1" ht="20.100000000000001" customHeight="1">
      <c r="A16" s="90" t="s">
        <v>1140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8" spans="1:18">
      <c r="D18" s="110" t="s">
        <v>5054</v>
      </c>
      <c r="E18" s="110"/>
      <c r="I18" s="250"/>
      <c r="N18" s="131" t="s">
        <v>4317</v>
      </c>
    </row>
    <row r="19" spans="1:18">
      <c r="A19" s="141"/>
      <c r="B19" s="141"/>
    </row>
    <row r="20" spans="1:18">
      <c r="A20" s="158" t="s">
        <v>5128</v>
      </c>
      <c r="B20" s="158" t="s">
        <v>5129</v>
      </c>
      <c r="C20" s="158"/>
      <c r="D20" s="140" t="s">
        <v>4779</v>
      </c>
      <c r="E20" s="140"/>
      <c r="H20" s="131">
        <v>21880.19</v>
      </c>
      <c r="K20" s="131" t="s">
        <v>4318</v>
      </c>
      <c r="L20" s="131" t="s">
        <v>4319</v>
      </c>
      <c r="N20" s="131" t="s">
        <v>4326</v>
      </c>
      <c r="R20" s="131">
        <v>370866.59</v>
      </c>
    </row>
    <row r="21" spans="1:18">
      <c r="A21" s="141"/>
      <c r="B21" s="141"/>
      <c r="D21" s="131" t="s">
        <v>1621</v>
      </c>
      <c r="H21" s="131">
        <v>169.81</v>
      </c>
      <c r="N21" s="131" t="s">
        <v>4320</v>
      </c>
    </row>
    <row r="22" spans="1:18">
      <c r="A22" s="158"/>
      <c r="B22" s="158"/>
      <c r="C22" s="158"/>
      <c r="D22" s="200"/>
      <c r="N22" s="131" t="s">
        <v>4321</v>
      </c>
    </row>
    <row r="23" spans="1:18">
      <c r="A23" s="158"/>
      <c r="B23" s="158"/>
      <c r="C23" s="158"/>
      <c r="D23" s="200" t="s">
        <v>5055</v>
      </c>
      <c r="E23" s="140"/>
      <c r="N23" s="131" t="s">
        <v>4322</v>
      </c>
    </row>
    <row r="24" spans="1:18">
      <c r="A24" s="158"/>
      <c r="B24" s="158"/>
      <c r="C24" s="158"/>
      <c r="D24" s="131" t="s">
        <v>5130</v>
      </c>
      <c r="N24" s="131" t="s">
        <v>4323</v>
      </c>
    </row>
    <row r="25" spans="1:18">
      <c r="A25" s="141"/>
      <c r="B25" s="141"/>
      <c r="N25" s="131" t="s">
        <v>4324</v>
      </c>
    </row>
    <row r="26" spans="1:18">
      <c r="A26" s="158" t="s">
        <v>5128</v>
      </c>
      <c r="B26" s="158" t="s">
        <v>5131</v>
      </c>
      <c r="C26" s="140"/>
      <c r="D26" s="131" t="s">
        <v>5132</v>
      </c>
      <c r="H26" s="131">
        <v>1000</v>
      </c>
      <c r="N26" s="131" t="s">
        <v>4325</v>
      </c>
    </row>
    <row r="27" spans="1:18">
      <c r="A27" s="141"/>
      <c r="B27" s="141"/>
      <c r="D27" s="131" t="s">
        <v>5133</v>
      </c>
    </row>
    <row r="28" spans="1:18">
      <c r="A28" s="158"/>
      <c r="B28" s="158"/>
      <c r="C28" s="158"/>
      <c r="N28" s="131" t="s">
        <v>1814</v>
      </c>
      <c r="R28" s="131">
        <v>22251.9954</v>
      </c>
    </row>
    <row r="29" spans="1:18">
      <c r="A29" s="158"/>
      <c r="B29" s="158"/>
      <c r="C29" s="141"/>
      <c r="E29" s="140"/>
    </row>
    <row r="30" spans="1:18">
      <c r="N30" s="131" t="s">
        <v>4327</v>
      </c>
    </row>
    <row r="32" spans="1:18" ht="13.5" thickBot="1">
      <c r="H32" s="137">
        <f>SUM(H20:H30)</f>
        <v>23050</v>
      </c>
    </row>
    <row r="33" spans="1:18" ht="13.5" thickTop="1"/>
    <row r="34" spans="1:18" ht="18" customHeight="1">
      <c r="A34" s="138" t="s">
        <v>1133</v>
      </c>
      <c r="B34" s="202" t="str">
        <f>IF(OR(H32&gt;1000000,H32&lt;=0),"",IF(H32&lt;1000,"",IF(MOD(H32,1000000)&gt;=100000,INDEX(numbers,TRUNC(MOD(H32,1000000)/100000,0)+1)&amp;" Hundred","")&amp;IF(MOD(H32,100000)&gt;=20000," "&amp;INDEX(tens,TRUNC(MOD(H32,100000)/10000,0)+1)&amp;IF(MOD(MOD(H32,100000),10000)&gt;=1000,"-"&amp;INDEX(numbers,TRUNC(MOD(MOD(H32,100000),10000)/1000,0)+1),""),IF(MOD(H32,100000)&gt;=1000," "&amp;INDEX(numbers,TRUNC(MOD(H32,100000)/1000,0)+1),""))&amp;" Thousand") &amp; IF(H32&lt;1,"Zero Dollars",IF(MOD(H32,1000)&gt;=100," "&amp;INDEX(numbers,TRUNC(MOD(H32,1000)/100,0)+1)&amp;" Hundred","")&amp;IF(MOD(H32,100)&gt;=20," "&amp;INDEX(tens,TRUNC(MOD(H32,100)/10,0)+1)&amp;IF(MOD(MOD(H32,100),10)&gt;=1,"-"&amp;INDEX(numbers,TRUNC(MOD(MOD(H32,100),10),0)+1),""),IF(MOD(H32,100)&gt;=1," "&amp;INDEX(numbers,TRUNC(MOD(H32,100),0)+1),""))&amp;"") &amp; " and " &amp; IF(MOD(H32,1)&lt;0.005,"NO",ROUND(MOD(H32,1)*100,0)) &amp; "/100 -----------")</f>
        <v xml:space="preserve"> Twenty-Three Thousand Fifty and NO/100 -----------</v>
      </c>
      <c r="C34" s="204"/>
      <c r="D34" s="139"/>
      <c r="E34" s="139"/>
      <c r="F34" s="139"/>
      <c r="G34" s="139"/>
      <c r="H34" s="139"/>
    </row>
    <row r="35" spans="1:18">
      <c r="A35" s="140" t="s">
        <v>11</v>
      </c>
    </row>
    <row r="36" spans="1:18" ht="25.5">
      <c r="A36" s="131" t="s">
        <v>10</v>
      </c>
      <c r="D36" s="143"/>
      <c r="F36" s="265" t="s">
        <v>2894</v>
      </c>
      <c r="G36" s="266"/>
      <c r="H36" s="267"/>
    </row>
    <row r="38" spans="1:18">
      <c r="A38" s="147"/>
    </row>
    <row r="39" spans="1:18">
      <c r="E39" s="141"/>
    </row>
    <row r="40" spans="1:18">
      <c r="A40" s="142"/>
      <c r="B40" s="142"/>
    </row>
    <row r="41" spans="1:18">
      <c r="D41" s="145"/>
    </row>
    <row r="42" spans="1:18">
      <c r="D42" s="145"/>
    </row>
    <row r="43" spans="1:18">
      <c r="A43" s="143" t="s">
        <v>8</v>
      </c>
      <c r="D43" s="143" t="s">
        <v>8</v>
      </c>
      <c r="F43" s="143" t="s">
        <v>7</v>
      </c>
      <c r="H43" s="144"/>
    </row>
    <row r="44" spans="1:18" ht="20.100000000000001" customHeight="1"/>
    <row r="47" spans="1:18">
      <c r="A47" s="142"/>
      <c r="B47" s="142"/>
      <c r="D47" s="142"/>
      <c r="F47" s="142"/>
      <c r="G47" s="142"/>
      <c r="H47" s="142"/>
      <c r="K47" s="158" t="s">
        <v>4432</v>
      </c>
      <c r="L47" s="158" t="s">
        <v>4487</v>
      </c>
      <c r="M47" s="158"/>
      <c r="N47" s="140" t="s">
        <v>4488</v>
      </c>
      <c r="O47" s="140"/>
      <c r="R47" s="131">
        <v>222519.95</v>
      </c>
    </row>
    <row r="48" spans="1:18">
      <c r="A48" s="145" t="s">
        <v>2948</v>
      </c>
      <c r="B48" s="146"/>
      <c r="C48" s="146"/>
      <c r="D48" s="145" t="s">
        <v>103</v>
      </c>
      <c r="E48" s="147"/>
      <c r="F48" s="147" t="s">
        <v>3</v>
      </c>
      <c r="G48" s="147"/>
      <c r="H48" s="147"/>
      <c r="N48" s="131" t="s">
        <v>4320</v>
      </c>
    </row>
    <row r="49" spans="1:18">
      <c r="F49" s="131" t="s">
        <v>2</v>
      </c>
      <c r="K49" s="158"/>
      <c r="L49" s="158"/>
      <c r="M49" s="158"/>
      <c r="N49" s="131" t="s">
        <v>4321</v>
      </c>
    </row>
    <row r="50" spans="1:18">
      <c r="A50" s="145"/>
      <c r="D50" s="145"/>
      <c r="K50" s="158"/>
      <c r="L50" s="158"/>
      <c r="M50" s="158"/>
      <c r="N50" s="140" t="s">
        <v>4322</v>
      </c>
      <c r="O50" s="140"/>
    </row>
    <row r="51" spans="1:18">
      <c r="F51" s="110" t="s">
        <v>1</v>
      </c>
      <c r="K51" s="158"/>
      <c r="L51" s="158"/>
      <c r="M51" s="158"/>
      <c r="N51" s="131" t="s">
        <v>4323</v>
      </c>
    </row>
    <row r="52" spans="1:18">
      <c r="F52" s="110" t="s">
        <v>0</v>
      </c>
      <c r="N52" s="131" t="s">
        <v>4324</v>
      </c>
    </row>
    <row r="53" spans="1:18" ht="11.25" customHeight="1">
      <c r="L53" s="140"/>
      <c r="M53" s="140"/>
      <c r="N53" s="131" t="s">
        <v>4325</v>
      </c>
    </row>
    <row r="54" spans="1:18">
      <c r="N54" s="110"/>
    </row>
    <row r="55" spans="1:18">
      <c r="K55" s="158"/>
      <c r="L55" s="158"/>
      <c r="M55" s="158"/>
      <c r="N55" s="131" t="s">
        <v>1814</v>
      </c>
      <c r="O55" s="140"/>
      <c r="R55" s="131">
        <f>R47*6%</f>
        <v>13351.197</v>
      </c>
    </row>
    <row r="56" spans="1:18">
      <c r="K56" s="158"/>
      <c r="L56" s="158"/>
      <c r="M56" s="141"/>
    </row>
    <row r="57" spans="1:18">
      <c r="N57" s="131" t="s">
        <v>4486</v>
      </c>
    </row>
    <row r="58" spans="1:18" s="147" customFormat="1" ht="17.100000000000001" customHeight="1">
      <c r="A58" s="131"/>
      <c r="B58" s="131"/>
      <c r="C58" s="131"/>
      <c r="D58" s="131"/>
      <c r="E58" s="131"/>
      <c r="F58" s="131"/>
      <c r="G58" s="131"/>
      <c r="H58" s="131"/>
    </row>
    <row r="62" spans="1:18">
      <c r="N62" s="131" t="s">
        <v>3936</v>
      </c>
    </row>
    <row r="64" spans="1:18">
      <c r="N64" s="131" t="s">
        <v>4494</v>
      </c>
      <c r="R64" s="131">
        <v>17124</v>
      </c>
    </row>
    <row r="65" spans="14:18">
      <c r="N65" s="131" t="s">
        <v>4495</v>
      </c>
    </row>
    <row r="66" spans="14:18">
      <c r="N66" s="131" t="s">
        <v>4496</v>
      </c>
    </row>
    <row r="67" spans="14:18">
      <c r="N67" s="131" t="s">
        <v>4497</v>
      </c>
    </row>
    <row r="68" spans="14:18">
      <c r="N68" s="131" t="s">
        <v>4498</v>
      </c>
    </row>
    <row r="69" spans="14:18">
      <c r="N69" s="131" t="s">
        <v>4500</v>
      </c>
      <c r="R69" s="131">
        <v>900</v>
      </c>
    </row>
    <row r="70" spans="14:18">
      <c r="N70" s="131" t="s">
        <v>4499</v>
      </c>
    </row>
    <row r="71" spans="14:18">
      <c r="N71" s="131" t="s">
        <v>1814</v>
      </c>
      <c r="R71" s="131">
        <v>54</v>
      </c>
    </row>
    <row r="72" spans="14:18">
      <c r="N72" s="131" t="s">
        <v>4592</v>
      </c>
    </row>
    <row r="74" spans="14:18">
      <c r="N74" s="131" t="s">
        <v>4593</v>
      </c>
      <c r="R74" s="131">
        <v>6930</v>
      </c>
    </row>
    <row r="75" spans="14:18">
      <c r="N75" s="131" t="s">
        <v>4594</v>
      </c>
    </row>
    <row r="77" spans="14:18">
      <c r="N77" s="131" t="s">
        <v>4595</v>
      </c>
      <c r="R77" s="131">
        <v>2970</v>
      </c>
    </row>
    <row r="78" spans="14:18">
      <c r="N78" s="131" t="s">
        <v>4596</v>
      </c>
    </row>
    <row r="80" spans="14:18">
      <c r="N80" s="131" t="s">
        <v>4597</v>
      </c>
      <c r="R80" s="131">
        <v>759.6</v>
      </c>
    </row>
    <row r="81" spans="14:18">
      <c r="N81" s="131" t="s">
        <v>4598</v>
      </c>
    </row>
    <row r="82" spans="14:18">
      <c r="N82" s="131" t="s">
        <v>4599</v>
      </c>
      <c r="R82" s="131">
        <v>336.7</v>
      </c>
    </row>
    <row r="83" spans="14:18">
      <c r="N83" s="131" t="s">
        <v>4600</v>
      </c>
      <c r="R83" s="131">
        <v>1100</v>
      </c>
    </row>
    <row r="85" spans="14:18">
      <c r="N85" s="131" t="s">
        <v>4317</v>
      </c>
    </row>
    <row r="87" spans="14:18">
      <c r="N87" s="131" t="s">
        <v>4601</v>
      </c>
      <c r="R87" s="131">
        <v>148346.63</v>
      </c>
    </row>
    <row r="88" spans="14:18">
      <c r="N88" s="131" t="s">
        <v>4320</v>
      </c>
    </row>
    <row r="89" spans="14:18">
      <c r="N89" s="131" t="s">
        <v>4321</v>
      </c>
    </row>
    <row r="90" spans="14:18">
      <c r="N90" s="131" t="s">
        <v>4322</v>
      </c>
    </row>
    <row r="91" spans="14:18">
      <c r="N91" s="131" t="s">
        <v>4323</v>
      </c>
    </row>
    <row r="92" spans="14:18">
      <c r="N92" s="131" t="s">
        <v>4324</v>
      </c>
    </row>
    <row r="93" spans="14:18">
      <c r="N93" s="131" t="s">
        <v>4325</v>
      </c>
    </row>
    <row r="94" spans="14:18">
      <c r="N94" s="131" t="s">
        <v>1814</v>
      </c>
      <c r="R94" s="131">
        <v>8900.7999999999993</v>
      </c>
    </row>
    <row r="95" spans="14:18">
      <c r="N95" s="131" t="s">
        <v>4606</v>
      </c>
    </row>
    <row r="96" spans="14:18">
      <c r="N96" s="131" t="s">
        <v>4602</v>
      </c>
      <c r="R96" s="131">
        <v>5980</v>
      </c>
    </row>
    <row r="97" spans="14:18">
      <c r="N97" s="131" t="s">
        <v>1814</v>
      </c>
      <c r="R97" s="131">
        <v>358.8</v>
      </c>
    </row>
    <row r="99" spans="14:18">
      <c r="N99" s="131" t="s">
        <v>4603</v>
      </c>
      <c r="R99" s="131">
        <v>13680</v>
      </c>
    </row>
    <row r="100" spans="14:18">
      <c r="N100" s="131" t="s">
        <v>1814</v>
      </c>
      <c r="R100" s="131">
        <v>820.8</v>
      </c>
    </row>
    <row r="102" spans="14:18">
      <c r="N102" s="131" t="s">
        <v>4604</v>
      </c>
      <c r="R102" s="131">
        <v>5400</v>
      </c>
    </row>
    <row r="103" spans="14:18">
      <c r="N103" s="131" t="s">
        <v>4605</v>
      </c>
    </row>
    <row r="104" spans="14:18">
      <c r="N104" s="131" t="s">
        <v>1814</v>
      </c>
      <c r="R104" s="131">
        <v>324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fitToHeight="2" orientation="portrait" r:id="rId1"/>
  <headerFooter alignWithMargins="0"/>
</worksheet>
</file>

<file path=xl/worksheets/sheet3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1-000000000000}">
  <sheetPr codeName="Sheet222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16" style="111" customWidth="1"/>
    <col min="2" max="2" width="13.42578125" style="111" customWidth="1"/>
    <col min="3" max="3" width="21" style="111" customWidth="1"/>
    <col min="4" max="4" width="12.28515625" style="111" customWidth="1"/>
    <col min="5" max="5" width="9" style="111" customWidth="1"/>
    <col min="6" max="6" width="13.28515625" style="11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A9" s="111" t="s">
        <v>1909</v>
      </c>
      <c r="D9" s="112" t="s">
        <v>1110</v>
      </c>
      <c r="E9" s="111" t="s">
        <v>1907</v>
      </c>
    </row>
    <row r="10" spans="1:6">
      <c r="A10" s="111" t="s">
        <v>1910</v>
      </c>
      <c r="D10" s="112" t="s">
        <v>1685</v>
      </c>
      <c r="E10" s="112" t="s">
        <v>1905</v>
      </c>
    </row>
    <row r="11" spans="1:6">
      <c r="D11" s="112" t="s">
        <v>1163</v>
      </c>
      <c r="E11" s="112" t="s">
        <v>1094</v>
      </c>
    </row>
    <row r="12" spans="1:6">
      <c r="D12" s="112" t="s">
        <v>1135</v>
      </c>
      <c r="E12" s="112" t="s">
        <v>1908</v>
      </c>
    </row>
    <row r="13" spans="1:6">
      <c r="E13" s="131"/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73"/>
    </row>
    <row r="18" spans="1:6">
      <c r="A18" s="173"/>
      <c r="C18" s="2" t="s">
        <v>1884</v>
      </c>
    </row>
    <row r="19" spans="1:6">
      <c r="B19" s="116"/>
    </row>
    <row r="20" spans="1:6">
      <c r="A20" s="120" t="s">
        <v>1897</v>
      </c>
      <c r="B20" s="121" t="s">
        <v>1911</v>
      </c>
      <c r="C20" s="111" t="s">
        <v>1912</v>
      </c>
      <c r="F20" s="111">
        <v>1000</v>
      </c>
    </row>
    <row r="22" spans="1:6">
      <c r="A22" s="112"/>
    </row>
    <row r="23" spans="1:6">
      <c r="A23" s="175"/>
    </row>
    <row r="25" spans="1:6">
      <c r="A25" s="116"/>
      <c r="B25" s="116"/>
    </row>
    <row r="26" spans="1:6">
      <c r="A26" s="1"/>
      <c r="B26" s="1"/>
    </row>
    <row r="27" spans="1:6">
      <c r="A27" s="1"/>
      <c r="B27" s="1"/>
    </row>
    <row r="28" spans="1:6">
      <c r="A28" s="1"/>
      <c r="B28" s="1"/>
      <c r="C28" s="1"/>
      <c r="D28" s="1"/>
      <c r="E28" s="1"/>
      <c r="F28" s="1"/>
    </row>
    <row r="29" spans="1:6" ht="13.5" thickBot="1">
      <c r="A29" s="173"/>
      <c r="F29" s="117">
        <f>SUM(F18:F28)</f>
        <v>1000</v>
      </c>
    </row>
    <row r="30" spans="1:6" ht="13.5" thickTop="1">
      <c r="A30" s="173"/>
    </row>
    <row r="31" spans="1:6">
      <c r="A31" s="173"/>
    </row>
    <row r="32" spans="1:6" ht="20.100000000000001" customHeight="1">
      <c r="A32" s="118" t="s">
        <v>1686</v>
      </c>
      <c r="B32" s="118" t="s">
        <v>1462</v>
      </c>
      <c r="C32" s="119"/>
      <c r="D32" s="119"/>
      <c r="E32" s="119"/>
    </row>
    <row r="33" spans="1:6" ht="13.5" thickBot="1">
      <c r="A33" s="120"/>
      <c r="F33" s="259">
        <f>SUM(F20:F32)</f>
        <v>2000</v>
      </c>
    </row>
    <row r="34" spans="1:6" ht="13.5" thickTop="1">
      <c r="A34" s="111" t="s">
        <v>10</v>
      </c>
    </row>
    <row r="37" spans="1:6">
      <c r="A37" s="111" t="s">
        <v>51</v>
      </c>
      <c r="C37" s="121"/>
    </row>
    <row r="38" spans="1:6">
      <c r="A38" s="122"/>
      <c r="B38" s="122"/>
    </row>
    <row r="39" spans="1:6" ht="25.5">
      <c r="A39" s="126"/>
      <c r="D39" s="265" t="s">
        <v>2894</v>
      </c>
      <c r="E39" s="266"/>
      <c r="F39" s="267"/>
    </row>
    <row r="40" spans="1:6">
      <c r="A40" s="111" t="s">
        <v>8</v>
      </c>
      <c r="D40" s="123" t="s">
        <v>7</v>
      </c>
      <c r="F40" s="124"/>
    </row>
    <row r="44" spans="1:6">
      <c r="A44" s="122" t="s">
        <v>51</v>
      </c>
      <c r="B44" s="122"/>
      <c r="D44" s="122"/>
      <c r="E44" s="122"/>
      <c r="F44" s="122"/>
    </row>
    <row r="45" spans="1:6" s="3" customFormat="1" ht="17.100000000000001" customHeight="1">
      <c r="A45" s="126" t="s">
        <v>4</v>
      </c>
      <c r="B45" s="125"/>
      <c r="C45" s="126"/>
      <c r="D45" s="126" t="s">
        <v>3</v>
      </c>
      <c r="E45" s="126"/>
      <c r="F45" s="126"/>
    </row>
    <row r="46" spans="1:6">
      <c r="D46" s="111" t="s">
        <v>2</v>
      </c>
    </row>
    <row r="48" spans="1:6">
      <c r="D48" s="2" t="s">
        <v>1</v>
      </c>
    </row>
    <row r="49" spans="1:4">
      <c r="D49" s="2" t="s">
        <v>0</v>
      </c>
    </row>
    <row r="50" spans="1:4">
      <c r="A50" s="151" t="s">
        <v>2948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1-000000000000}">
  <sheetPr codeName="Sheet203"/>
  <dimension ref="A1:G51"/>
  <sheetViews>
    <sheetView view="pageBreakPreview" zoomScaleSheetLayoutView="100" workbookViewId="0">
      <selection activeCell="G9" sqref="G9:G13"/>
    </sheetView>
  </sheetViews>
  <sheetFormatPr defaultRowHeight="12.75"/>
  <cols>
    <col min="1" max="1" width="15.42578125" style="1" customWidth="1"/>
    <col min="2" max="2" width="12.140625" style="1" customWidth="1"/>
    <col min="3" max="3" width="23" style="1" customWidth="1"/>
    <col min="4" max="4" width="14.7109375" style="1" customWidth="1"/>
    <col min="5" max="5" width="10.5703125" style="1" customWidth="1"/>
    <col min="6" max="6" width="13.7109375" style="1" customWidth="1"/>
    <col min="7" max="16384" width="9.140625" style="1"/>
  </cols>
  <sheetData>
    <row r="1" spans="1:7" ht="15">
      <c r="A1" s="528" t="s">
        <v>26</v>
      </c>
      <c r="B1" s="528"/>
      <c r="C1" s="528"/>
      <c r="D1" s="528"/>
      <c r="E1" s="528"/>
      <c r="F1" s="528"/>
    </row>
    <row r="2" spans="1:7">
      <c r="A2" s="529" t="s">
        <v>25</v>
      </c>
      <c r="B2" s="529"/>
      <c r="C2" s="529"/>
      <c r="D2" s="529"/>
      <c r="E2" s="529"/>
      <c r="F2" s="529"/>
    </row>
    <row r="3" spans="1:7">
      <c r="A3" s="529" t="s">
        <v>1480</v>
      </c>
      <c r="B3" s="529"/>
      <c r="C3" s="529"/>
      <c r="D3" s="529"/>
      <c r="E3" s="529"/>
      <c r="F3" s="529"/>
    </row>
    <row r="4" spans="1:7">
      <c r="A4" s="529" t="s">
        <v>1481</v>
      </c>
      <c r="B4" s="529"/>
      <c r="C4" s="529"/>
      <c r="D4" s="529"/>
      <c r="E4" s="529"/>
      <c r="F4" s="529"/>
    </row>
    <row r="5" spans="1:7">
      <c r="A5" s="57"/>
      <c r="B5" s="57"/>
      <c r="C5" s="57"/>
      <c r="D5" s="57"/>
      <c r="E5" s="57"/>
      <c r="F5" s="57"/>
    </row>
    <row r="6" spans="1:7">
      <c r="A6" s="57"/>
      <c r="B6" s="57"/>
      <c r="C6" s="57"/>
      <c r="D6" s="57"/>
      <c r="E6" s="57"/>
      <c r="F6" s="57"/>
    </row>
    <row r="7" spans="1:7">
      <c r="A7" s="111" t="s">
        <v>24</v>
      </c>
      <c r="B7" s="57"/>
      <c r="C7" s="57"/>
      <c r="D7" s="57"/>
      <c r="E7" s="57"/>
      <c r="F7" s="57"/>
    </row>
    <row r="8" spans="1:7" s="111" customFormat="1" ht="12.75" customHeight="1">
      <c r="B8" s="113"/>
      <c r="C8" s="113"/>
      <c r="D8" s="22" t="s">
        <v>23</v>
      </c>
      <c r="F8" s="113"/>
    </row>
    <row r="9" spans="1:7" s="111" customFormat="1">
      <c r="A9" s="111" t="s">
        <v>1751</v>
      </c>
      <c r="D9" s="112" t="s">
        <v>1119</v>
      </c>
      <c r="E9" s="126" t="s">
        <v>1748</v>
      </c>
    </row>
    <row r="10" spans="1:7" s="111" customFormat="1">
      <c r="A10" s="111" t="s">
        <v>1752</v>
      </c>
      <c r="D10" s="112" t="s">
        <v>1121</v>
      </c>
      <c r="E10" s="160" t="s">
        <v>1749</v>
      </c>
    </row>
    <row r="11" spans="1:7" s="111" customFormat="1">
      <c r="D11" s="112" t="s">
        <v>1093</v>
      </c>
      <c r="E11" s="160" t="s">
        <v>1094</v>
      </c>
    </row>
    <row r="12" spans="1:7" s="111" customFormat="1">
      <c r="D12" s="112" t="s">
        <v>1120</v>
      </c>
      <c r="E12" s="160" t="s">
        <v>1750</v>
      </c>
    </row>
    <row r="13" spans="1:7" s="111" customFormat="1"/>
    <row r="14" spans="1:7" s="111" customFormat="1"/>
    <row r="15" spans="1:7" s="111" customFormat="1" ht="14.25">
      <c r="A15" s="113"/>
      <c r="B15" s="170"/>
      <c r="C15" s="113"/>
      <c r="D15" s="113"/>
      <c r="E15" s="113"/>
      <c r="F15" s="113"/>
      <c r="G15" s="111" t="s">
        <v>1034</v>
      </c>
    </row>
    <row r="16" spans="1:7" s="15" customFormat="1" ht="20.100000000000001" customHeight="1">
      <c r="A16" s="18" t="s">
        <v>1113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 s="111" customFormat="1" ht="14.25">
      <c r="A17" s="114"/>
      <c r="B17" s="170"/>
      <c r="C17" s="113"/>
      <c r="D17" s="113"/>
      <c r="E17" s="113"/>
      <c r="F17" s="113"/>
    </row>
    <row r="18" spans="1:6" s="111" customFormat="1">
      <c r="A18" s="161"/>
      <c r="B18" s="116"/>
      <c r="C18" s="2" t="s">
        <v>1753</v>
      </c>
    </row>
    <row r="19" spans="1:6" s="111" customFormat="1">
      <c r="A19" s="161"/>
      <c r="B19" s="116"/>
    </row>
    <row r="20" spans="1:6" s="111" customFormat="1">
      <c r="B20" s="121"/>
      <c r="C20" s="111" t="s">
        <v>1754</v>
      </c>
      <c r="F20" s="111">
        <v>1452.08</v>
      </c>
    </row>
    <row r="21" spans="1:6" s="111" customFormat="1">
      <c r="A21" s="115"/>
      <c r="B21" s="121"/>
    </row>
    <row r="22" spans="1:6" s="111" customFormat="1">
      <c r="A22" s="115"/>
      <c r="B22" s="121"/>
    </row>
    <row r="23" spans="1:6" s="111" customFormat="1">
      <c r="A23" s="161"/>
      <c r="B23" s="116"/>
    </row>
    <row r="24" spans="1:6" s="111" customFormat="1">
      <c r="A24" s="115"/>
    </row>
    <row r="25" spans="1:6" s="111" customFormat="1">
      <c r="A25" s="161"/>
      <c r="B25" s="116"/>
      <c r="C25" s="2"/>
    </row>
    <row r="26" spans="1:6" s="111" customFormat="1">
      <c r="A26" s="161"/>
      <c r="B26" s="116"/>
    </row>
    <row r="27" spans="1:6" s="111" customFormat="1">
      <c r="B27" s="121"/>
    </row>
    <row r="28" spans="1:6" s="111" customFormat="1">
      <c r="A28" s="115"/>
      <c r="B28" s="121"/>
    </row>
    <row r="29" spans="1:6" s="111" customFormat="1">
      <c r="A29" s="115"/>
      <c r="B29" s="121"/>
    </row>
    <row r="30" spans="1:6" s="111" customFormat="1">
      <c r="A30" s="115"/>
    </row>
    <row r="31" spans="1:6" s="111" customFormat="1">
      <c r="A31" s="161"/>
      <c r="B31" s="116"/>
    </row>
    <row r="32" spans="1:6" s="111" customFormat="1"/>
    <row r="33" spans="1:6" s="111" customFormat="1" ht="13.5" thickBot="1">
      <c r="F33" s="117">
        <f>SUM(F20:F32)</f>
        <v>1452.08</v>
      </c>
    </row>
    <row r="34" spans="1:6" s="111" customFormat="1" ht="20.100000000000001" customHeight="1" thickTop="1">
      <c r="A34" s="118" t="s">
        <v>204</v>
      </c>
      <c r="B34" s="118" t="s">
        <v>1755</v>
      </c>
      <c r="C34" s="119"/>
      <c r="D34" s="119"/>
      <c r="E34" s="119"/>
      <c r="F34" s="119"/>
    </row>
    <row r="35" spans="1:6" s="111" customFormat="1">
      <c r="A35" s="120" t="s">
        <v>11</v>
      </c>
    </row>
    <row r="36" spans="1:6" s="111" customFormat="1">
      <c r="A36" s="111" t="s">
        <v>10</v>
      </c>
    </row>
    <row r="37" spans="1:6" s="111" customFormat="1"/>
    <row r="38" spans="1:6" s="111" customFormat="1"/>
    <row r="39" spans="1:6" ht="25.5">
      <c r="A39" s="126"/>
      <c r="B39" s="111"/>
      <c r="C39" s="12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23" t="s">
        <v>8</v>
      </c>
      <c r="B42" s="111"/>
      <c r="C42" s="111"/>
      <c r="D42" s="123" t="s">
        <v>7</v>
      </c>
      <c r="E42" s="111"/>
      <c r="F42" s="124"/>
    </row>
    <row r="43" spans="1:6">
      <c r="A43" s="111"/>
      <c r="B43" s="111"/>
      <c r="C43" s="111"/>
      <c r="D43" s="111"/>
      <c r="E43" s="111"/>
      <c r="F43" s="111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22"/>
      <c r="B46" s="122"/>
      <c r="C46" s="111"/>
      <c r="D46" s="122"/>
      <c r="E46" s="122"/>
      <c r="F46" s="111"/>
    </row>
    <row r="47" spans="1:6" s="3" customFormat="1" ht="17.100000000000001" customHeight="1">
      <c r="A47" s="125" t="s">
        <v>4</v>
      </c>
      <c r="B47" s="125"/>
      <c r="C47" s="126"/>
      <c r="D47" s="126" t="s">
        <v>3</v>
      </c>
      <c r="E47" s="126"/>
      <c r="F47" s="126"/>
    </row>
    <row r="48" spans="1:6">
      <c r="A48" s="111"/>
      <c r="B48" s="111"/>
      <c r="C48" s="111"/>
      <c r="D48" s="111" t="s">
        <v>2</v>
      </c>
      <c r="E48" s="111"/>
      <c r="F48" s="111"/>
    </row>
    <row r="49" spans="1:6">
      <c r="A49" s="13"/>
      <c r="B49" s="13"/>
      <c r="C49" s="13"/>
      <c r="D49" s="13"/>
      <c r="E49" s="13"/>
      <c r="F49" s="13"/>
    </row>
    <row r="50" spans="1:6">
      <c r="A50" s="275" t="s">
        <v>2948</v>
      </c>
      <c r="B50" s="13"/>
      <c r="C50" s="13"/>
      <c r="D50" s="2" t="s">
        <v>1</v>
      </c>
      <c r="E50" s="13"/>
      <c r="F50" s="13"/>
    </row>
    <row r="51" spans="1:6">
      <c r="A51" s="13"/>
      <c r="B51" s="13"/>
      <c r="C51" s="13"/>
      <c r="D51" s="2" t="s">
        <v>0</v>
      </c>
      <c r="E51" s="13"/>
      <c r="F51" s="13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3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1-000000000000}">
  <sheetPr codeName="Sheet196">
    <pageSetUpPr fitToPage="1"/>
  </sheetPr>
  <dimension ref="A1:F50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26" t="s">
        <v>1653</v>
      </c>
    </row>
    <row r="10" spans="1:6">
      <c r="A10" s="111" t="s">
        <v>1655</v>
      </c>
      <c r="D10" s="112" t="s">
        <v>1162</v>
      </c>
      <c r="E10" s="160" t="s">
        <v>1648</v>
      </c>
    </row>
    <row r="11" spans="1:6">
      <c r="A11" s="111" t="s">
        <v>1656</v>
      </c>
      <c r="D11" s="112" t="s">
        <v>1163</v>
      </c>
      <c r="E11" s="160" t="s">
        <v>1094</v>
      </c>
    </row>
    <row r="12" spans="1:6">
      <c r="A12" s="111" t="s">
        <v>1657</v>
      </c>
      <c r="D12" s="112" t="s">
        <v>1135</v>
      </c>
      <c r="E12" s="160" t="s">
        <v>1654</v>
      </c>
    </row>
    <row r="13" spans="1:6">
      <c r="A13" s="111" t="s">
        <v>1658</v>
      </c>
    </row>
    <row r="14" spans="1:6">
      <c r="A14" s="111" t="s">
        <v>1659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61"/>
      <c r="B18" s="116"/>
      <c r="C18" s="2" t="s">
        <v>1664</v>
      </c>
    </row>
    <row r="19" spans="1:6">
      <c r="C19" s="2" t="s">
        <v>1665</v>
      </c>
    </row>
    <row r="20" spans="1:6">
      <c r="A20" s="161" t="s">
        <v>1660</v>
      </c>
      <c r="B20" s="116" t="s">
        <v>1661</v>
      </c>
      <c r="C20" s="111" t="s">
        <v>1662</v>
      </c>
      <c r="F20" s="111">
        <f>100*7.5</f>
        <v>750</v>
      </c>
    </row>
    <row r="21" spans="1:6">
      <c r="C21" s="111" t="s">
        <v>1663</v>
      </c>
    </row>
    <row r="23" spans="1:6">
      <c r="C23" s="111" t="s">
        <v>1666</v>
      </c>
      <c r="F23" s="111">
        <f>100*0.5</f>
        <v>50</v>
      </c>
    </row>
    <row r="24" spans="1:6">
      <c r="C24" s="111" t="s">
        <v>1667</v>
      </c>
    </row>
    <row r="26" spans="1:6">
      <c r="A26" s="116" t="s">
        <v>1668</v>
      </c>
      <c r="B26" s="116" t="s">
        <v>1669</v>
      </c>
      <c r="C26" s="111" t="s">
        <v>1662</v>
      </c>
      <c r="F26" s="111">
        <f>100*7.5</f>
        <v>750</v>
      </c>
    </row>
    <row r="27" spans="1:6">
      <c r="C27" s="111" t="s">
        <v>1663</v>
      </c>
    </row>
    <row r="28" spans="1:6">
      <c r="B28" s="120"/>
    </row>
    <row r="29" spans="1:6">
      <c r="B29" s="120"/>
      <c r="C29" s="111" t="s">
        <v>1666</v>
      </c>
      <c r="F29" s="111">
        <f>100*0.5</f>
        <v>50</v>
      </c>
    </row>
    <row r="30" spans="1:6">
      <c r="C30" s="111" t="s">
        <v>1667</v>
      </c>
    </row>
    <row r="31" spans="1:6" ht="13.5" thickBot="1">
      <c r="F31" s="127">
        <f>SUM(F19:F30)</f>
        <v>1600</v>
      </c>
    </row>
    <row r="32" spans="1:6" ht="13.5" thickTop="1"/>
    <row r="33" spans="1:6" ht="20.100000000000001" customHeight="1" thickBot="1">
      <c r="A33" s="118" t="s">
        <v>1133</v>
      </c>
      <c r="B33" s="118" t="s">
        <v>1670</v>
      </c>
      <c r="C33" s="119"/>
      <c r="D33" s="119"/>
      <c r="E33" s="119"/>
      <c r="F33" s="117">
        <f>SUM(F20:F32)</f>
        <v>3200</v>
      </c>
    </row>
    <row r="34" spans="1:6" ht="13.5" thickTop="1">
      <c r="A34" s="120"/>
    </row>
    <row r="35" spans="1:6">
      <c r="A35" s="123" t="s">
        <v>10</v>
      </c>
    </row>
    <row r="36" spans="1:6">
      <c r="A36" s="123"/>
    </row>
    <row r="37" spans="1:6">
      <c r="A37" s="123"/>
    </row>
    <row r="38" spans="1:6">
      <c r="A38" s="123"/>
      <c r="C38" s="121"/>
    </row>
    <row r="39" spans="1:6" ht="25.5">
      <c r="A39" s="270"/>
      <c r="B39" s="122"/>
      <c r="D39" s="265" t="s">
        <v>2894</v>
      </c>
      <c r="E39" s="266"/>
      <c r="F39" s="267"/>
    </row>
    <row r="41" spans="1:6">
      <c r="A41" s="123" t="s">
        <v>8</v>
      </c>
      <c r="D41" s="123" t="s">
        <v>7</v>
      </c>
      <c r="F41" s="124"/>
    </row>
    <row r="42" spans="1:6">
      <c r="A42" s="123"/>
    </row>
    <row r="43" spans="1:6">
      <c r="A43" s="123"/>
    </row>
    <row r="44" spans="1:6">
      <c r="A44" s="123"/>
    </row>
    <row r="45" spans="1:6">
      <c r="A45" s="150"/>
      <c r="B45" s="122"/>
      <c r="D45" s="122"/>
      <c r="E45" s="122"/>
      <c r="F45" s="122"/>
    </row>
    <row r="46" spans="1:6" s="126" customFormat="1" ht="17.100000000000001" customHeight="1">
      <c r="A46" s="151" t="s">
        <v>4</v>
      </c>
      <c r="B46" s="125"/>
      <c r="D46" s="126" t="s">
        <v>3</v>
      </c>
    </row>
    <row r="47" spans="1:6">
      <c r="A47" s="123"/>
      <c r="D47" s="111" t="s">
        <v>2</v>
      </c>
    </row>
    <row r="48" spans="1:6">
      <c r="A48" s="123"/>
    </row>
    <row r="49" spans="1:4">
      <c r="D49" s="2" t="s">
        <v>1</v>
      </c>
    </row>
    <row r="50" spans="1:4">
      <c r="A50" s="151" t="s">
        <v>2948</v>
      </c>
      <c r="D50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3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1-000000000000}">
  <sheetPr codeName="Sheet174">
    <pageSetUpPr fitToPage="1"/>
  </sheetPr>
  <dimension ref="A1:J54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1" style="1" customWidth="1"/>
    <col min="4" max="4" width="23" style="1" customWidth="1"/>
    <col min="5" max="5" width="1.28515625" style="1" customWidth="1"/>
    <col min="6" max="6" width="15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489" t="s">
        <v>6696</v>
      </c>
      <c r="H9" s="111"/>
    </row>
    <row r="10" spans="1:8">
      <c r="A10" s="111" t="s">
        <v>1585</v>
      </c>
      <c r="B10" s="111"/>
      <c r="C10" s="111"/>
      <c r="D10" s="111"/>
      <c r="E10" s="111"/>
      <c r="F10" s="112" t="s">
        <v>1162</v>
      </c>
      <c r="G10" s="132" t="s">
        <v>6695</v>
      </c>
      <c r="H10" s="111"/>
    </row>
    <row r="11" spans="1:8">
      <c r="A11" s="111"/>
      <c r="B11" s="111"/>
      <c r="C11" s="111"/>
      <c r="D11" s="111"/>
      <c r="E11" s="111"/>
      <c r="F11" s="112" t="s">
        <v>1163</v>
      </c>
      <c r="G11" s="132" t="s">
        <v>2023</v>
      </c>
      <c r="H11" s="111"/>
    </row>
    <row r="12" spans="1:8">
      <c r="A12" s="111"/>
      <c r="B12" s="111"/>
      <c r="C12" s="111"/>
      <c r="D12" s="111"/>
      <c r="E12" s="111"/>
      <c r="F12" s="112" t="s">
        <v>1096</v>
      </c>
      <c r="G12" s="111" t="s">
        <v>6697</v>
      </c>
      <c r="H12" s="111"/>
    </row>
    <row r="13" spans="1:8">
      <c r="A13" s="111"/>
      <c r="B13" s="111"/>
      <c r="C13" s="111"/>
      <c r="D13" s="111"/>
      <c r="E13" s="111"/>
      <c r="F13" s="111"/>
      <c r="G13" s="111" t="s">
        <v>5914</v>
      </c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455"/>
      <c r="D16" s="19" t="s">
        <v>14</v>
      </c>
      <c r="E16" s="19"/>
      <c r="F16" s="18"/>
      <c r="G16" s="17"/>
      <c r="H16" s="16" t="s">
        <v>13</v>
      </c>
    </row>
    <row r="17" spans="1:10">
      <c r="A17" s="111"/>
      <c r="B17" s="111"/>
      <c r="C17" s="111"/>
      <c r="D17" s="111"/>
      <c r="E17" s="111"/>
      <c r="F17" s="111"/>
      <c r="G17" s="111"/>
      <c r="H17" s="111"/>
    </row>
    <row r="18" spans="1:10">
      <c r="A18" s="111"/>
      <c r="B18" s="111"/>
      <c r="C18" s="111"/>
      <c r="D18" s="111"/>
      <c r="E18" s="111"/>
      <c r="F18" s="111"/>
      <c r="G18" s="111"/>
      <c r="H18" s="111"/>
    </row>
    <row r="19" spans="1:10">
      <c r="A19" s="161" t="s">
        <v>6698</v>
      </c>
      <c r="B19" s="485" t="s">
        <v>6699</v>
      </c>
      <c r="C19" s="116"/>
      <c r="D19" s="111" t="s">
        <v>6700</v>
      </c>
      <c r="E19" s="111"/>
      <c r="F19" s="111"/>
      <c r="G19" s="111"/>
      <c r="H19" s="111">
        <v>131</v>
      </c>
      <c r="I19" s="111"/>
      <c r="J19" s="111"/>
    </row>
    <row r="20" spans="1:10">
      <c r="A20" s="161" t="s">
        <v>6701</v>
      </c>
      <c r="B20" s="485" t="s">
        <v>6702</v>
      </c>
      <c r="C20" s="116"/>
      <c r="D20" s="483" t="s">
        <v>6703</v>
      </c>
      <c r="E20" s="111"/>
      <c r="F20" s="111"/>
      <c r="G20" s="111"/>
      <c r="H20" s="111">
        <v>126.7</v>
      </c>
    </row>
    <row r="21" spans="1:10">
      <c r="A21" s="161" t="s">
        <v>6636</v>
      </c>
      <c r="B21" s="485" t="s">
        <v>6704</v>
      </c>
      <c r="C21" s="116"/>
      <c r="D21" s="111" t="s">
        <v>6705</v>
      </c>
      <c r="E21" s="111"/>
      <c r="F21" s="111"/>
      <c r="G21" s="111"/>
      <c r="H21" s="111">
        <v>135.30000000000001</v>
      </c>
    </row>
    <row r="22" spans="1:10">
      <c r="A22" s="161"/>
      <c r="B22" s="485"/>
      <c r="C22" s="116"/>
      <c r="D22" s="111"/>
      <c r="E22" s="111"/>
      <c r="F22" s="111"/>
      <c r="G22" s="111"/>
      <c r="H22" s="111"/>
    </row>
    <row r="23" spans="1:10">
      <c r="A23" s="161"/>
      <c r="B23" s="485"/>
      <c r="C23" s="116"/>
      <c r="D23" s="111"/>
      <c r="E23" s="111"/>
      <c r="F23" s="111"/>
      <c r="G23" s="111"/>
      <c r="H23" s="111"/>
    </row>
    <row r="24" spans="1:10">
      <c r="A24" s="161"/>
      <c r="B24" s="485"/>
      <c r="C24" s="116"/>
      <c r="D24" s="111"/>
      <c r="E24" s="111"/>
      <c r="F24" s="111"/>
      <c r="G24" s="111"/>
      <c r="H24" s="111"/>
    </row>
    <row r="25" spans="1:10">
      <c r="A25" s="161"/>
      <c r="B25" s="116"/>
      <c r="C25" s="116"/>
      <c r="D25" s="111"/>
      <c r="E25" s="111"/>
      <c r="F25" s="111"/>
      <c r="G25" s="111"/>
      <c r="H25" s="111"/>
    </row>
    <row r="26" spans="1:10">
      <c r="A26" s="116"/>
      <c r="B26" s="116"/>
      <c r="C26" s="116"/>
      <c r="D26" s="111"/>
      <c r="E26" s="111"/>
      <c r="H26" s="111"/>
    </row>
    <row r="27" spans="1:10">
      <c r="A27" s="161"/>
      <c r="B27" s="116"/>
      <c r="C27" s="116"/>
      <c r="D27" s="111"/>
      <c r="E27" s="111"/>
      <c r="F27" s="111"/>
      <c r="G27" s="111"/>
      <c r="H27" s="111"/>
    </row>
    <row r="28" spans="1:10">
      <c r="A28" s="111"/>
      <c r="B28" s="111"/>
      <c r="C28" s="111"/>
      <c r="D28" s="111"/>
      <c r="E28" s="111"/>
      <c r="F28" s="111"/>
      <c r="G28" s="111"/>
      <c r="H28" s="111"/>
    </row>
    <row r="29" spans="1:10">
      <c r="A29" s="111"/>
      <c r="B29" s="111"/>
      <c r="C29" s="111"/>
      <c r="D29" s="111"/>
      <c r="E29" s="111"/>
      <c r="F29" s="111"/>
      <c r="G29" s="111"/>
      <c r="H29" s="111"/>
    </row>
    <row r="30" spans="1:10">
      <c r="A30" s="111"/>
      <c r="B30" s="111"/>
      <c r="C30" s="111"/>
      <c r="D30" s="111"/>
      <c r="E30" s="111"/>
      <c r="F30" s="111"/>
      <c r="G30" s="111"/>
      <c r="H30" s="111"/>
    </row>
    <row r="31" spans="1:10">
      <c r="A31" s="111"/>
      <c r="B31" s="111"/>
      <c r="C31" s="111"/>
      <c r="D31" s="111"/>
      <c r="E31" s="111"/>
      <c r="F31" s="111"/>
      <c r="G31" s="111"/>
      <c r="H31" s="111"/>
    </row>
    <row r="32" spans="1:10">
      <c r="A32" s="111"/>
      <c r="B32" s="111"/>
      <c r="C32" s="111"/>
      <c r="D32" s="111"/>
      <c r="E32" s="111"/>
      <c r="F32" s="111"/>
      <c r="G32" s="111"/>
    </row>
    <row r="33" spans="1:8" ht="13.5" thickBot="1">
      <c r="A33" s="111"/>
      <c r="B33" s="111"/>
      <c r="C33" s="111"/>
      <c r="D33" s="111"/>
      <c r="E33" s="111"/>
      <c r="F33" s="111"/>
      <c r="G33" s="111"/>
      <c r="H33" s="117">
        <f>SUM(H18:H32)</f>
        <v>393</v>
      </c>
    </row>
    <row r="34" spans="1:8" ht="13.5" thickTop="1">
      <c r="A34" s="111"/>
      <c r="B34" s="111"/>
      <c r="C34" s="111"/>
      <c r="D34" s="111"/>
      <c r="E34" s="111"/>
      <c r="F34" s="111"/>
      <c r="G34" s="111"/>
      <c r="H34" s="111"/>
    </row>
    <row r="35" spans="1:8" ht="20.100000000000001" customHeight="1">
      <c r="A35" s="118" t="s">
        <v>1133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Three Hundred Ninety-Three and NO/100 -----------</v>
      </c>
      <c r="C35" s="202"/>
      <c r="D35" s="119"/>
      <c r="E35" s="119"/>
      <c r="F35" s="119"/>
      <c r="G35" s="119"/>
      <c r="H35" s="119"/>
    </row>
    <row r="36" spans="1:8">
      <c r="A36" s="120" t="s">
        <v>11</v>
      </c>
      <c r="B36" s="111"/>
      <c r="C36" s="111"/>
      <c r="D36" s="111"/>
      <c r="E36" s="111"/>
      <c r="F36" s="111"/>
      <c r="G36" s="111"/>
      <c r="H36" s="111"/>
    </row>
    <row r="37" spans="1:8" ht="25.5">
      <c r="A37" s="111" t="s">
        <v>10</v>
      </c>
      <c r="B37" s="111"/>
      <c r="C37" s="111"/>
      <c r="D37" s="111"/>
      <c r="E37" s="111"/>
      <c r="F37" s="265" t="s">
        <v>2894</v>
      </c>
      <c r="G37" s="266"/>
      <c r="H37" s="267"/>
    </row>
    <row r="38" spans="1:8">
      <c r="A38" s="111"/>
      <c r="B38" s="111"/>
      <c r="C38" s="111"/>
      <c r="D38" s="111"/>
      <c r="E38" s="111"/>
      <c r="F38" s="111"/>
      <c r="G38" s="111"/>
      <c r="H38" s="111"/>
    </row>
    <row r="39" spans="1:8">
      <c r="A39" s="126"/>
      <c r="B39" s="111"/>
      <c r="C39" s="111"/>
      <c r="D39" s="111"/>
      <c r="E39" s="111"/>
    </row>
    <row r="40" spans="1:8">
      <c r="A40" s="111"/>
      <c r="B40" s="111"/>
      <c r="C40" s="111"/>
      <c r="D40" s="121"/>
      <c r="E40" s="121"/>
      <c r="F40" s="111"/>
      <c r="G40" s="111"/>
      <c r="H40" s="111"/>
    </row>
    <row r="41" spans="1:8">
      <c r="A41" s="122"/>
      <c r="B41" s="122"/>
      <c r="C41" s="433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3" t="s">
        <v>8</v>
      </c>
      <c r="B43" s="111"/>
      <c r="C43" s="111"/>
      <c r="D43" s="123" t="s">
        <v>8</v>
      </c>
      <c r="E43" s="111"/>
      <c r="F43" s="123" t="s">
        <v>7</v>
      </c>
      <c r="G43" s="111"/>
      <c r="H43" s="124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11"/>
      <c r="B45" s="111"/>
      <c r="C45" s="111"/>
      <c r="D45" s="111"/>
      <c r="E45" s="111"/>
      <c r="F45" s="111"/>
      <c r="G45" s="111"/>
      <c r="H45" s="111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22"/>
      <c r="B47" s="122"/>
      <c r="C47" s="433"/>
      <c r="D47" s="122"/>
      <c r="E47" s="111"/>
      <c r="F47" s="122"/>
      <c r="G47" s="122"/>
      <c r="H47" s="122"/>
    </row>
    <row r="48" spans="1:8" s="3" customFormat="1" ht="17.100000000000001" customHeight="1">
      <c r="A48" s="151" t="s">
        <v>2948</v>
      </c>
      <c r="B48" s="125"/>
      <c r="C48" s="125"/>
      <c r="D48" s="151" t="s">
        <v>103</v>
      </c>
      <c r="E48" s="126"/>
      <c r="F48" s="126" t="s">
        <v>3</v>
      </c>
      <c r="G48" s="126"/>
      <c r="H48" s="126"/>
    </row>
    <row r="49" spans="1:8">
      <c r="A49" s="111"/>
      <c r="B49" s="111"/>
      <c r="C49" s="111"/>
      <c r="D49" s="111"/>
      <c r="E49" s="111"/>
      <c r="F49" s="111" t="s">
        <v>2</v>
      </c>
      <c r="G49" s="111"/>
      <c r="H49" s="111"/>
    </row>
    <row r="50" spans="1:8">
      <c r="A50" s="151"/>
      <c r="B50" s="111"/>
      <c r="C50" s="111"/>
      <c r="D50" s="111"/>
      <c r="E50" s="111"/>
      <c r="F50" s="111"/>
      <c r="G50" s="111"/>
      <c r="H50" s="111"/>
    </row>
    <row r="51" spans="1:8">
      <c r="A51" s="111"/>
      <c r="B51" s="111"/>
      <c r="C51" s="111"/>
      <c r="D51" s="111"/>
      <c r="E51" s="111"/>
      <c r="F51" s="2" t="s">
        <v>1</v>
      </c>
      <c r="G51" s="111"/>
      <c r="H51" s="111"/>
    </row>
    <row r="52" spans="1:8">
      <c r="A52" s="111"/>
      <c r="B52" s="111"/>
      <c r="C52" s="111"/>
      <c r="D52" s="111"/>
      <c r="E52" s="111"/>
      <c r="F52" s="2" t="s">
        <v>0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</sheetData>
  <mergeCells count="4">
    <mergeCell ref="A1:H1"/>
    <mergeCell ref="A2:H2"/>
    <mergeCell ref="A3:H3"/>
    <mergeCell ref="A4:H4"/>
  </mergeCells>
  <phoneticPr fontId="43" type="noConversion"/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3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1-000000000000}">
  <sheetPr codeName="Sheet175">
    <pageSetUpPr fitToPage="1"/>
  </sheetPr>
  <dimension ref="A1:F52"/>
  <sheetViews>
    <sheetView topLeftCell="A4" zoomScaleSheetLayoutView="100" workbookViewId="0">
      <selection activeCell="G9" sqref="G9:G13"/>
    </sheetView>
  </sheetViews>
  <sheetFormatPr defaultRowHeight="12.75"/>
  <cols>
    <col min="1" max="1" width="15.42578125" style="1" customWidth="1"/>
    <col min="2" max="2" width="13.28515625" style="1" customWidth="1"/>
    <col min="3" max="3" width="23" style="1" customWidth="1"/>
    <col min="4" max="4" width="14.7109375" style="1" customWidth="1"/>
    <col min="5" max="5" width="8.42578125" style="1" customWidth="1"/>
    <col min="6" max="6" width="14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5" spans="1:6">
      <c r="A5" s="57"/>
      <c r="B5" s="57"/>
      <c r="C5" s="57"/>
      <c r="D5" s="57"/>
      <c r="E5" s="57"/>
      <c r="F5" s="57"/>
    </row>
    <row r="6" spans="1:6">
      <c r="A6" s="57"/>
      <c r="B6" s="57"/>
      <c r="C6" s="57"/>
      <c r="D6" s="57"/>
      <c r="E6" s="57"/>
      <c r="F6" s="57"/>
    </row>
    <row r="7" spans="1:6">
      <c r="A7" s="111" t="s">
        <v>24</v>
      </c>
      <c r="B7" s="57"/>
      <c r="C7" s="57"/>
      <c r="D7" s="57"/>
      <c r="E7" s="57"/>
      <c r="F7" s="57"/>
    </row>
    <row r="8" spans="1:6" s="111" customFormat="1" ht="12.75" customHeight="1">
      <c r="B8" s="113"/>
      <c r="C8" s="113"/>
      <c r="D8" s="22" t="s">
        <v>23</v>
      </c>
      <c r="F8" s="113"/>
    </row>
    <row r="9" spans="1:6" s="111" customFormat="1">
      <c r="A9" s="111" t="s">
        <v>1503</v>
      </c>
      <c r="D9" s="112" t="s">
        <v>1119</v>
      </c>
      <c r="E9" s="111" t="s">
        <v>1518</v>
      </c>
    </row>
    <row r="10" spans="1:6" s="111" customFormat="1">
      <c r="A10" s="111" t="s">
        <v>1504</v>
      </c>
      <c r="D10" s="112" t="s">
        <v>1121</v>
      </c>
      <c r="E10" s="112" t="s">
        <v>1502</v>
      </c>
    </row>
    <row r="11" spans="1:6" s="111" customFormat="1">
      <c r="A11" s="111" t="s">
        <v>1505</v>
      </c>
      <c r="D11" s="112" t="s">
        <v>1093</v>
      </c>
      <c r="E11" s="112" t="s">
        <v>1094</v>
      </c>
    </row>
    <row r="12" spans="1:6" s="111" customFormat="1">
      <c r="A12" s="111" t="s">
        <v>1506</v>
      </c>
      <c r="D12" s="112" t="s">
        <v>1120</v>
      </c>
      <c r="E12" s="112" t="s">
        <v>1519</v>
      </c>
    </row>
    <row r="13" spans="1:6" s="111" customFormat="1"/>
    <row r="14" spans="1:6" s="111" customFormat="1"/>
    <row r="15" spans="1:6" s="111" customFormat="1" ht="14.25">
      <c r="A15" s="113"/>
      <c r="B15" s="113"/>
      <c r="C15" s="113"/>
      <c r="D15" s="113"/>
      <c r="E15" s="113"/>
      <c r="F15" s="113"/>
    </row>
    <row r="16" spans="1:6" s="15" customFormat="1" ht="20.100000000000001" customHeight="1">
      <c r="A16" s="18" t="s">
        <v>1113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 s="111" customFormat="1" ht="14.25">
      <c r="A17" s="114"/>
      <c r="B17" s="113"/>
      <c r="C17" s="113"/>
      <c r="D17" s="113"/>
      <c r="E17" s="113"/>
      <c r="F17" s="113"/>
    </row>
    <row r="18" spans="1:6" s="111" customFormat="1">
      <c r="A18" s="161" t="s">
        <v>11</v>
      </c>
      <c r="B18" s="116"/>
      <c r="C18" s="2" t="s">
        <v>1507</v>
      </c>
    </row>
    <row r="19" spans="1:6" s="111" customFormat="1">
      <c r="A19" s="115"/>
    </row>
    <row r="20" spans="1:6" s="111" customFormat="1">
      <c r="A20" s="120" t="s">
        <v>1455</v>
      </c>
      <c r="B20" s="120" t="s">
        <v>1508</v>
      </c>
      <c r="C20" s="120" t="s">
        <v>1510</v>
      </c>
    </row>
    <row r="21" spans="1:6" s="111" customFormat="1">
      <c r="A21" s="115"/>
      <c r="C21" s="111" t="s">
        <v>1509</v>
      </c>
      <c r="F21" s="111">
        <v>6400.34</v>
      </c>
    </row>
    <row r="22" spans="1:6" s="111" customFormat="1">
      <c r="A22" s="115"/>
      <c r="C22" s="111" t="s">
        <v>1511</v>
      </c>
      <c r="F22" s="111">
        <v>1400</v>
      </c>
    </row>
    <row r="23" spans="1:6" s="111" customFormat="1">
      <c r="A23" s="115"/>
      <c r="C23" s="111" t="s">
        <v>1512</v>
      </c>
      <c r="F23" s="111">
        <v>5600</v>
      </c>
    </row>
    <row r="24" spans="1:6" s="111" customFormat="1">
      <c r="A24" s="161"/>
      <c r="B24" s="116"/>
      <c r="C24" s="111" t="s">
        <v>1513</v>
      </c>
      <c r="F24" s="111">
        <v>2000</v>
      </c>
    </row>
    <row r="25" spans="1:6" s="111" customFormat="1">
      <c r="A25" s="115"/>
      <c r="C25" s="111" t="s">
        <v>1514</v>
      </c>
      <c r="F25" s="111">
        <v>1043.8</v>
      </c>
    </row>
    <row r="26" spans="1:6" s="111" customFormat="1">
      <c r="C26" s="111" t="s">
        <v>1515</v>
      </c>
      <c r="F26" s="111">
        <v>57</v>
      </c>
    </row>
    <row r="27" spans="1:6" s="111" customFormat="1">
      <c r="C27" s="111" t="s">
        <v>1516</v>
      </c>
      <c r="F27" s="111">
        <v>348.85</v>
      </c>
    </row>
    <row r="28" spans="1:6" s="111" customFormat="1"/>
    <row r="29" spans="1:6" s="111" customFormat="1"/>
    <row r="30" spans="1:6" s="111" customFormat="1"/>
    <row r="31" spans="1:6" s="111" customFormat="1">
      <c r="A31" s="115"/>
    </row>
    <row r="32" spans="1:6" s="111" customFormat="1">
      <c r="A32" s="115"/>
    </row>
    <row r="33" spans="1:6" s="111" customFormat="1" ht="13.5" thickBot="1">
      <c r="F33" s="117">
        <f>SUM(F20:F32)</f>
        <v>16849.989999999998</v>
      </c>
    </row>
    <row r="34" spans="1:6" s="111" customFormat="1" ht="13.5" thickTop="1"/>
    <row r="35" spans="1:6" s="111" customFormat="1" ht="20.100000000000001" customHeight="1">
      <c r="A35" s="118" t="s">
        <v>204</v>
      </c>
      <c r="B35" s="118" t="s">
        <v>1517</v>
      </c>
      <c r="C35" s="119"/>
      <c r="D35" s="119"/>
      <c r="E35" s="119"/>
      <c r="F35" s="119"/>
    </row>
    <row r="36" spans="1:6" s="111" customFormat="1">
      <c r="A36" s="120" t="s">
        <v>11</v>
      </c>
    </row>
    <row r="37" spans="1:6" s="111" customFormat="1">
      <c r="A37" s="111" t="s">
        <v>10</v>
      </c>
    </row>
    <row r="38" spans="1:6" s="111" customFormat="1"/>
    <row r="39" spans="1:6" s="111" customFormat="1" ht="25.5">
      <c r="A39" s="126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22"/>
      <c r="B42" s="122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11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275" t="s">
        <v>2948</v>
      </c>
      <c r="B50" s="13"/>
      <c r="C50" s="13"/>
      <c r="D50" s="13"/>
      <c r="E50" s="13"/>
      <c r="F50" s="13"/>
    </row>
    <row r="51" spans="1:6">
      <c r="A51" s="13"/>
      <c r="B51" s="13"/>
      <c r="C51" s="13"/>
      <c r="D51" s="2" t="s">
        <v>1</v>
      </c>
      <c r="E51" s="13"/>
      <c r="F51" s="13"/>
    </row>
    <row r="52" spans="1:6">
      <c r="A52" s="13"/>
      <c r="B52" s="13"/>
      <c r="C52" s="13"/>
      <c r="D52" s="2" t="s">
        <v>0</v>
      </c>
      <c r="E52" s="13"/>
      <c r="F52" s="13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3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1-000000000000}">
  <sheetPr codeName="Sheet38">
    <pageSetUpPr fitToPage="1"/>
  </sheetPr>
  <dimension ref="A1:F52"/>
  <sheetViews>
    <sheetView topLeftCell="A4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478</v>
      </c>
    </row>
    <row r="10" spans="1:6">
      <c r="A10" s="1" t="s">
        <v>477</v>
      </c>
      <c r="D10" s="21" t="s">
        <v>21</v>
      </c>
      <c r="E10" s="21" t="s">
        <v>54</v>
      </c>
    </row>
    <row r="11" spans="1:6">
      <c r="A11" s="1" t="s">
        <v>476</v>
      </c>
      <c r="D11" s="21" t="s">
        <v>19</v>
      </c>
      <c r="E11" s="21" t="s">
        <v>18</v>
      </c>
    </row>
    <row r="12" spans="1:6">
      <c r="D12" s="21" t="s">
        <v>17</v>
      </c>
      <c r="E12" s="20" t="s">
        <v>475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2:6">
      <c r="C19" s="13"/>
    </row>
    <row r="20" spans="2:6">
      <c r="C20" s="13"/>
    </row>
    <row r="21" spans="2:6">
      <c r="C21" s="13"/>
    </row>
    <row r="22" spans="2:6">
      <c r="C22" s="1" t="s">
        <v>48</v>
      </c>
    </row>
    <row r="24" spans="2:6">
      <c r="B24" s="8" t="s">
        <v>43</v>
      </c>
      <c r="C24" s="1" t="s">
        <v>474</v>
      </c>
      <c r="F24" s="1">
        <v>103.6</v>
      </c>
    </row>
    <row r="25" spans="2:6">
      <c r="B25" s="8"/>
    </row>
    <row r="26" spans="2:6">
      <c r="B26" s="8"/>
    </row>
    <row r="27" spans="2:6">
      <c r="B27" s="8"/>
    </row>
    <row r="28" spans="2:6">
      <c r="B28" s="8"/>
    </row>
    <row r="33" spans="1:6" ht="13.5" thickBot="1">
      <c r="F33" s="12">
        <f>SUM(F20:F32)</f>
        <v>103.6</v>
      </c>
    </row>
    <row r="34" spans="1:6" ht="13.5" thickTop="1"/>
    <row r="35" spans="1:6" ht="20.100000000000001" customHeight="1">
      <c r="A35" s="10" t="s">
        <v>473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465"/>
  <dimension ref="A1:H53"/>
  <sheetViews>
    <sheetView workbookViewId="0">
      <selection activeCell="G9" sqref="G9:G13"/>
    </sheetView>
  </sheetViews>
  <sheetFormatPr defaultRowHeight="12.75"/>
  <cols>
    <col min="1" max="1" width="16" style="111" customWidth="1"/>
    <col min="2" max="2" width="13.42578125" style="111" customWidth="1"/>
    <col min="3" max="3" width="1.7109375" style="111" customWidth="1"/>
    <col min="4" max="4" width="21" style="111" customWidth="1"/>
    <col min="5" max="5" width="1.140625" style="111" customWidth="1"/>
    <col min="6" max="6" width="16.42578125" style="111" customWidth="1"/>
    <col min="7" max="7" width="9" style="111" customWidth="1"/>
    <col min="8" max="8" width="13.28515625" style="11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1110</v>
      </c>
      <c r="G9" s="111" t="s">
        <v>4383</v>
      </c>
    </row>
    <row r="10" spans="1:8">
      <c r="A10" s="111" t="s">
        <v>4384</v>
      </c>
      <c r="F10" s="112" t="s">
        <v>1685</v>
      </c>
      <c r="G10" s="111" t="s">
        <v>4369</v>
      </c>
    </row>
    <row r="11" spans="1:8">
      <c r="A11" s="111" t="s">
        <v>4385</v>
      </c>
      <c r="F11" s="112" t="s">
        <v>1163</v>
      </c>
      <c r="G11" s="111" t="s">
        <v>1094</v>
      </c>
    </row>
    <row r="12" spans="1:8">
      <c r="A12" s="111" t="s">
        <v>4386</v>
      </c>
      <c r="F12" s="112" t="s">
        <v>1188</v>
      </c>
      <c r="G12" s="120" t="s">
        <v>1270</v>
      </c>
    </row>
    <row r="16" spans="1:8" s="15" customFormat="1" ht="20.100000000000001" customHeight="1">
      <c r="A16" s="129" t="s">
        <v>1097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73"/>
    </row>
    <row r="18" spans="1:8">
      <c r="D18" s="2" t="s">
        <v>4387</v>
      </c>
      <c r="E18" s="2"/>
    </row>
    <row r="19" spans="1:8">
      <c r="A19" s="173"/>
      <c r="D19" s="2"/>
      <c r="E19" s="2"/>
    </row>
    <row r="20" spans="1:8">
      <c r="A20" s="116"/>
      <c r="B20" s="335"/>
      <c r="C20" s="120"/>
      <c r="D20" s="111" t="s">
        <v>4388</v>
      </c>
      <c r="H20" s="111">
        <f>39189.15*4.35629989</f>
        <v>170719.6898341935</v>
      </c>
    </row>
    <row r="21" spans="1:8">
      <c r="A21" s="116"/>
      <c r="B21" s="121"/>
      <c r="C21" s="121"/>
      <c r="D21" s="111" t="s">
        <v>4389</v>
      </c>
    </row>
    <row r="24" spans="1:8">
      <c r="A24" s="174"/>
      <c r="B24" s="121"/>
      <c r="C24" s="121"/>
    </row>
    <row r="28" spans="1:8">
      <c r="D28" s="2"/>
      <c r="E28" s="2"/>
    </row>
    <row r="29" spans="1:8">
      <c r="A29" s="116"/>
      <c r="B29" s="121"/>
      <c r="C29" s="121"/>
    </row>
    <row r="30" spans="1:8">
      <c r="A30" s="116"/>
      <c r="B30" s="121"/>
      <c r="C30" s="121"/>
    </row>
    <row r="31" spans="1:8">
      <c r="A31" s="121"/>
    </row>
    <row r="32" spans="1:8">
      <c r="A32" s="174"/>
      <c r="B32" s="120"/>
      <c r="C32" s="120"/>
    </row>
    <row r="33" spans="1:8">
      <c r="A33" s="7"/>
      <c r="B33" s="1"/>
      <c r="C33" s="1"/>
      <c r="D33" s="1"/>
      <c r="E33" s="1"/>
      <c r="F33" s="1"/>
      <c r="G33" s="1"/>
      <c r="H33" s="1"/>
    </row>
    <row r="34" spans="1:8" ht="13.5" thickBot="1">
      <c r="A34" s="173"/>
      <c r="H34" s="117">
        <f>SUM(H19:H33)</f>
        <v>170719.6898341935</v>
      </c>
    </row>
    <row r="35" spans="1:8" ht="13.5" thickTop="1">
      <c r="A35" s="173"/>
    </row>
    <row r="36" spans="1:8" ht="20.100000000000001" customHeight="1">
      <c r="A36" s="118" t="s">
        <v>1686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>One Hundred Seventy Thousand Seven Hundred Nineteen and 69/100 -----------</v>
      </c>
      <c r="C36" s="202"/>
      <c r="D36" s="119"/>
      <c r="E36" s="119"/>
      <c r="F36" s="261"/>
      <c r="G36" s="261"/>
      <c r="H36" s="261"/>
    </row>
    <row r="37" spans="1:8">
      <c r="A37" s="120"/>
    </row>
    <row r="38" spans="1:8" ht="25.5">
      <c r="A38" s="111" t="s">
        <v>10</v>
      </c>
      <c r="D38" s="111" t="s">
        <v>8</v>
      </c>
      <c r="F38" s="265" t="s">
        <v>2894</v>
      </c>
      <c r="G38" s="266"/>
      <c r="H38" s="267"/>
    </row>
    <row r="39" spans="1:8">
      <c r="A39" s="1"/>
      <c r="F39" s="309"/>
      <c r="G39" s="309"/>
      <c r="H39" s="309"/>
    </row>
    <row r="40" spans="1:8">
      <c r="F40" s="310"/>
      <c r="G40" s="311"/>
      <c r="H40" s="311"/>
    </row>
    <row r="41" spans="1:8">
      <c r="A41" s="1"/>
      <c r="B41" s="1"/>
      <c r="C41" s="1"/>
      <c r="D41" s="1"/>
    </row>
    <row r="42" spans="1:8">
      <c r="A42" s="122"/>
      <c r="B42" s="122"/>
      <c r="D42" s="122" t="s">
        <v>51</v>
      </c>
    </row>
    <row r="43" spans="1:8">
      <c r="D43" s="111" t="s">
        <v>103</v>
      </c>
    </row>
    <row r="44" spans="1:8">
      <c r="A44" s="111" t="s">
        <v>8</v>
      </c>
      <c r="F44" s="123" t="s">
        <v>7</v>
      </c>
      <c r="H44" s="124"/>
    </row>
    <row r="47" spans="1:8">
      <c r="A47" s="1"/>
      <c r="D47" s="1"/>
    </row>
    <row r="48" spans="1:8">
      <c r="A48" s="122" t="s">
        <v>51</v>
      </c>
      <c r="B48" s="122"/>
      <c r="D48" s="122" t="s">
        <v>51</v>
      </c>
      <c r="F48" s="122"/>
      <c r="G48" s="122"/>
      <c r="H48" s="122"/>
    </row>
    <row r="49" spans="1:8" s="3" customFormat="1" ht="17.100000000000001" customHeight="1">
      <c r="A49" s="111" t="s">
        <v>2948</v>
      </c>
      <c r="B49" s="125"/>
      <c r="C49" s="125"/>
      <c r="D49" s="111" t="s">
        <v>103</v>
      </c>
      <c r="E49" s="126"/>
      <c r="F49" s="126" t="s">
        <v>3</v>
      </c>
      <c r="G49" s="126"/>
      <c r="H49" s="126"/>
    </row>
    <row r="50" spans="1:8">
      <c r="F50" s="111" t="s">
        <v>2</v>
      </c>
    </row>
    <row r="52" spans="1:8">
      <c r="F52" s="2" t="s">
        <v>1</v>
      </c>
    </row>
    <row r="53" spans="1:8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3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1-000000000000}">
  <sheetPr codeName="Sheet39">
    <pageSetUpPr fitToPage="1"/>
  </sheetPr>
  <dimension ref="A1:F51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481</v>
      </c>
    </row>
    <row r="10" spans="1:6">
      <c r="A10" s="1" t="s">
        <v>480</v>
      </c>
      <c r="D10" s="21" t="s">
        <v>21</v>
      </c>
      <c r="E10" s="21" t="s">
        <v>47</v>
      </c>
    </row>
    <row r="11" spans="1:6">
      <c r="D11" s="21" t="s">
        <v>19</v>
      </c>
      <c r="E11" s="21" t="s">
        <v>18</v>
      </c>
    </row>
    <row r="12" spans="1:6">
      <c r="D12" s="21" t="s">
        <v>17</v>
      </c>
      <c r="E12" s="21" t="s">
        <v>479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2:6">
      <c r="C19" s="13"/>
    </row>
    <row r="20" spans="2:6">
      <c r="C20" s="14" t="s">
        <v>46</v>
      </c>
    </row>
    <row r="21" spans="2:6">
      <c r="C21" s="14" t="s">
        <v>45</v>
      </c>
    </row>
    <row r="24" spans="2:6">
      <c r="C24" s="1" t="s">
        <v>44</v>
      </c>
    </row>
    <row r="26" spans="2:6">
      <c r="B26" s="8" t="s">
        <v>43</v>
      </c>
      <c r="C26" s="1" t="s">
        <v>42</v>
      </c>
      <c r="F26" s="1">
        <v>1175</v>
      </c>
    </row>
    <row r="27" spans="2:6">
      <c r="B27" s="8"/>
    </row>
    <row r="31" spans="2:6" ht="13.5" thickBot="1">
      <c r="F31" s="12">
        <f>SUM(F18:F30)</f>
        <v>1175</v>
      </c>
    </row>
    <row r="32" spans="2:6" ht="13.5" thickTop="1"/>
    <row r="33" spans="1:6" ht="13.5" thickBot="1">
      <c r="F33" s="12">
        <f>SUM(F20:F32)</f>
        <v>2350</v>
      </c>
    </row>
    <row r="34" spans="1:6" ht="20.100000000000001" customHeight="1" thickTop="1">
      <c r="A34" s="10" t="s">
        <v>41</v>
      </c>
      <c r="B34" s="10"/>
      <c r="C34" s="9"/>
      <c r="D34" s="9"/>
      <c r="E34" s="9"/>
      <c r="F34" s="9"/>
    </row>
    <row r="35" spans="1:6">
      <c r="A35" s="8" t="s">
        <v>11</v>
      </c>
    </row>
    <row r="36" spans="1:6">
      <c r="A36" s="1" t="s">
        <v>10</v>
      </c>
    </row>
    <row r="39" spans="1:6" ht="25.5">
      <c r="A39" s="3" t="s">
        <v>9</v>
      </c>
      <c r="C39" s="7"/>
      <c r="D39" s="265" t="s">
        <v>2894</v>
      </c>
      <c r="E39" s="266"/>
      <c r="F39" s="267"/>
    </row>
    <row r="42" spans="1:6">
      <c r="A42" s="6" t="s">
        <v>8</v>
      </c>
      <c r="D42" s="6" t="s">
        <v>7</v>
      </c>
      <c r="F42" s="5"/>
    </row>
    <row r="46" spans="1:6">
      <c r="A46" s="1" t="s">
        <v>6</v>
      </c>
      <c r="D46" s="1" t="s">
        <v>5</v>
      </c>
    </row>
    <row r="47" spans="1:6" s="3" customFormat="1" ht="17.100000000000001" customHeight="1">
      <c r="A47" s="4" t="s">
        <v>4</v>
      </c>
      <c r="B47" s="4"/>
      <c r="D47" s="3" t="s">
        <v>3</v>
      </c>
    </row>
    <row r="48" spans="1:6">
      <c r="D48" s="1" t="s">
        <v>2</v>
      </c>
    </row>
    <row r="50" spans="1:4">
      <c r="A50" s="273" t="s">
        <v>2948</v>
      </c>
      <c r="D50" s="2" t="s">
        <v>1</v>
      </c>
    </row>
    <row r="51" spans="1:4">
      <c r="D51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1-000000000000}">
  <sheetPr codeName="Sheet41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491</v>
      </c>
    </row>
    <row r="10" spans="1:6">
      <c r="A10" s="1" t="s">
        <v>490</v>
      </c>
      <c r="D10" s="21" t="s">
        <v>21</v>
      </c>
      <c r="E10" s="21" t="s">
        <v>489</v>
      </c>
    </row>
    <row r="11" spans="1:6">
      <c r="A11" s="1" t="s">
        <v>488</v>
      </c>
      <c r="D11" s="21" t="s">
        <v>19</v>
      </c>
      <c r="E11" s="21" t="s">
        <v>18</v>
      </c>
    </row>
    <row r="12" spans="1:6">
      <c r="D12" s="21" t="s">
        <v>17</v>
      </c>
      <c r="E12" s="21" t="s">
        <v>487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3" spans="1:6">
      <c r="A23" s="1" t="s">
        <v>486</v>
      </c>
      <c r="C23" s="1" t="s">
        <v>483</v>
      </c>
      <c r="F23" s="1">
        <v>16</v>
      </c>
    </row>
    <row r="24" spans="1:6">
      <c r="A24" s="1" t="s">
        <v>485</v>
      </c>
      <c r="C24" s="1" t="s">
        <v>483</v>
      </c>
      <c r="F24" s="1">
        <v>10</v>
      </c>
    </row>
    <row r="25" spans="1:6">
      <c r="A25" s="1" t="s">
        <v>484</v>
      </c>
      <c r="C25" s="1" t="s">
        <v>483</v>
      </c>
      <c r="F25" s="1">
        <v>10</v>
      </c>
    </row>
    <row r="33" spans="1:6" ht="13.5" thickBot="1">
      <c r="F33" s="12">
        <f>SUM(F20:F32)</f>
        <v>36</v>
      </c>
    </row>
    <row r="34" spans="1:6" ht="13.5" thickTop="1"/>
    <row r="35" spans="1:6" ht="20.100000000000001" customHeight="1">
      <c r="A35" s="10" t="s">
        <v>482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1-000000000000}">
  <sheetPr codeName="Sheet50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498</v>
      </c>
    </row>
    <row r="10" spans="1:6">
      <c r="A10" s="1" t="s">
        <v>497</v>
      </c>
      <c r="D10" s="21" t="s">
        <v>21</v>
      </c>
      <c r="E10" s="21" t="s">
        <v>54</v>
      </c>
    </row>
    <row r="11" spans="1:6">
      <c r="A11" s="1" t="s">
        <v>57</v>
      </c>
      <c r="D11" s="21" t="s">
        <v>19</v>
      </c>
      <c r="E11" s="21" t="s">
        <v>18</v>
      </c>
    </row>
    <row r="12" spans="1:6">
      <c r="D12" s="21" t="s">
        <v>17</v>
      </c>
      <c r="E12" s="20" t="s">
        <v>496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56</v>
      </c>
    </row>
    <row r="20" spans="1:6">
      <c r="C20" s="14" t="s">
        <v>495</v>
      </c>
    </row>
    <row r="23" spans="1:6">
      <c r="A23" s="1" t="s">
        <v>494</v>
      </c>
      <c r="C23" s="1" t="s">
        <v>493</v>
      </c>
      <c r="F23" s="1">
        <v>80.650000000000006</v>
      </c>
    </row>
    <row r="33" spans="1:6" ht="13.5" thickBot="1">
      <c r="F33" s="12">
        <f>SUM(F20:F32)</f>
        <v>80.650000000000006</v>
      </c>
    </row>
    <row r="34" spans="1:6" ht="13.5" thickTop="1"/>
    <row r="35" spans="1:6" ht="20.100000000000001" customHeight="1">
      <c r="A35" s="10" t="s">
        <v>492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1-000000000000}">
  <sheetPr codeName="Sheet75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508</v>
      </c>
    </row>
    <row r="10" spans="1:6">
      <c r="A10" s="1" t="s">
        <v>507</v>
      </c>
      <c r="D10" s="21" t="s">
        <v>21</v>
      </c>
      <c r="E10" s="21" t="s">
        <v>349</v>
      </c>
    </row>
    <row r="11" spans="1:6">
      <c r="A11" s="1" t="s">
        <v>506</v>
      </c>
      <c r="D11" s="21" t="s">
        <v>19</v>
      </c>
      <c r="E11" s="21" t="s">
        <v>18</v>
      </c>
    </row>
    <row r="12" spans="1:6">
      <c r="A12" s="1" t="s">
        <v>505</v>
      </c>
      <c r="D12" s="21" t="s">
        <v>17</v>
      </c>
      <c r="E12" s="21" t="s">
        <v>504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503</v>
      </c>
    </row>
    <row r="20" spans="1:6">
      <c r="C20" s="14" t="s">
        <v>502</v>
      </c>
    </row>
    <row r="21" spans="1:6">
      <c r="C21" s="14" t="s">
        <v>501</v>
      </c>
    </row>
    <row r="23" spans="1:6">
      <c r="A23" s="1" t="s">
        <v>500</v>
      </c>
      <c r="C23" s="1" t="s">
        <v>499</v>
      </c>
      <c r="F23" s="1">
        <v>800</v>
      </c>
    </row>
    <row r="25" spans="1:6">
      <c r="C25" s="8"/>
    </row>
    <row r="33" spans="1:6" ht="13.5" thickBot="1">
      <c r="F33" s="12">
        <f>SUM(F20:F32)</f>
        <v>800</v>
      </c>
    </row>
    <row r="34" spans="1:6" ht="13.5" thickTop="1"/>
    <row r="35" spans="1:6" ht="20.100000000000001" customHeight="1">
      <c r="A35" s="10" t="s">
        <v>208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1-000000000000}">
  <sheetPr codeName="Sheet90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519</v>
      </c>
    </row>
    <row r="10" spans="1:6">
      <c r="A10" s="1" t="s">
        <v>518</v>
      </c>
      <c r="D10" s="21" t="s">
        <v>21</v>
      </c>
      <c r="E10" s="21" t="s">
        <v>140</v>
      </c>
    </row>
    <row r="11" spans="1:6">
      <c r="A11" s="1" t="s">
        <v>517</v>
      </c>
      <c r="D11" s="21" t="s">
        <v>19</v>
      </c>
      <c r="E11" s="21" t="s">
        <v>18</v>
      </c>
    </row>
    <row r="12" spans="1:6">
      <c r="A12" s="1" t="s">
        <v>516</v>
      </c>
      <c r="D12" s="21" t="s">
        <v>17</v>
      </c>
      <c r="E12" s="21" t="s">
        <v>515</v>
      </c>
    </row>
    <row r="17" spans="1:6" s="15" customFormat="1" ht="20.100000000000001" customHeight="1">
      <c r="A17" s="18" t="s">
        <v>15</v>
      </c>
      <c r="B17" s="18"/>
      <c r="C17" s="19" t="s">
        <v>14</v>
      </c>
      <c r="D17" s="18"/>
      <c r="E17" s="17"/>
      <c r="F17" s="16" t="s">
        <v>13</v>
      </c>
    </row>
    <row r="20" spans="1:6">
      <c r="C20" s="14" t="s">
        <v>514</v>
      </c>
    </row>
    <row r="21" spans="1:6">
      <c r="C21" s="14" t="s">
        <v>513</v>
      </c>
    </row>
    <row r="24" spans="1:6">
      <c r="A24" s="1" t="s">
        <v>512</v>
      </c>
      <c r="C24" s="1" t="s">
        <v>511</v>
      </c>
      <c r="F24" s="1">
        <v>1240</v>
      </c>
    </row>
    <row r="25" spans="1:6">
      <c r="C25" s="1" t="s">
        <v>510</v>
      </c>
    </row>
    <row r="33" spans="1:6" ht="13.5" thickBot="1">
      <c r="F33" s="12">
        <f>SUM(F20:F32)</f>
        <v>1240</v>
      </c>
    </row>
    <row r="34" spans="1:6" ht="13.5" thickTop="1"/>
    <row r="35" spans="1:6" ht="20.100000000000001" customHeight="1">
      <c r="A35" s="10" t="s">
        <v>509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1-000000000000}">
  <sheetPr codeName="Sheet91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529</v>
      </c>
    </row>
    <row r="10" spans="1:6">
      <c r="A10" s="1" t="s">
        <v>528</v>
      </c>
      <c r="D10" s="21" t="s">
        <v>21</v>
      </c>
      <c r="E10" s="21" t="s">
        <v>527</v>
      </c>
    </row>
    <row r="11" spans="1:6">
      <c r="A11" s="1" t="s">
        <v>526</v>
      </c>
      <c r="D11" s="21" t="s">
        <v>19</v>
      </c>
      <c r="E11" s="21" t="s">
        <v>18</v>
      </c>
    </row>
    <row r="12" spans="1:6">
      <c r="A12" s="1" t="s">
        <v>161</v>
      </c>
      <c r="D12" s="21" t="s">
        <v>17</v>
      </c>
      <c r="E12" s="21" t="s">
        <v>525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0" spans="1:6">
      <c r="A20" s="1" t="s">
        <v>524</v>
      </c>
      <c r="C20" s="1" t="s">
        <v>523</v>
      </c>
      <c r="F20" s="1">
        <v>250</v>
      </c>
    </row>
    <row r="22" spans="1:6">
      <c r="A22" s="1" t="s">
        <v>522</v>
      </c>
      <c r="C22" s="1" t="s">
        <v>521</v>
      </c>
      <c r="F22" s="1">
        <v>600</v>
      </c>
    </row>
    <row r="33" spans="1:6" ht="13.5" thickBot="1">
      <c r="F33" s="12">
        <f>SUM(F20:F32)</f>
        <v>850</v>
      </c>
    </row>
    <row r="34" spans="1:6" ht="13.5" thickTop="1"/>
    <row r="35" spans="1:6" ht="20.100000000000001" customHeight="1">
      <c r="A35" s="10" t="s">
        <v>520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1-000000000000}">
  <sheetPr codeName="Sheet43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975</v>
      </c>
    </row>
    <row r="10" spans="1:6">
      <c r="A10" s="1" t="s">
        <v>974</v>
      </c>
      <c r="D10" s="21" t="s">
        <v>21</v>
      </c>
      <c r="E10" s="21" t="s">
        <v>527</v>
      </c>
    </row>
    <row r="11" spans="1:6">
      <c r="A11" s="1" t="s">
        <v>973</v>
      </c>
      <c r="D11" s="21" t="s">
        <v>19</v>
      </c>
      <c r="E11" s="21" t="s">
        <v>18</v>
      </c>
    </row>
    <row r="12" spans="1:6">
      <c r="A12" s="1" t="s">
        <v>660</v>
      </c>
      <c r="D12" s="21" t="s">
        <v>17</v>
      </c>
      <c r="E12" s="21" t="s">
        <v>972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1:6">
      <c r="C19" s="14" t="s">
        <v>971</v>
      </c>
    </row>
    <row r="20" spans="1:6">
      <c r="C20" s="14" t="s">
        <v>970</v>
      </c>
    </row>
    <row r="21" spans="1:6">
      <c r="C21" s="14" t="s">
        <v>969</v>
      </c>
    </row>
    <row r="24" spans="1:6">
      <c r="A24" s="1" t="s">
        <v>968</v>
      </c>
      <c r="C24" s="1" t="s">
        <v>389</v>
      </c>
      <c r="F24" s="1">
        <v>3000</v>
      </c>
    </row>
    <row r="25" spans="1:6">
      <c r="C25" s="13"/>
    </row>
    <row r="26" spans="1:6">
      <c r="C26" s="13"/>
    </row>
    <row r="27" spans="1:6">
      <c r="C27" s="13"/>
    </row>
    <row r="29" spans="1:6">
      <c r="B29" s="8"/>
    </row>
    <row r="30" spans="1:6">
      <c r="B30" s="8"/>
    </row>
    <row r="31" spans="1:6">
      <c r="B31" s="8"/>
    </row>
    <row r="33" spans="1:6" ht="13.5" thickBot="1">
      <c r="F33" s="12">
        <f>SUM(F20:F32)</f>
        <v>3000</v>
      </c>
    </row>
    <row r="34" spans="1:6" ht="13.5" thickTop="1"/>
    <row r="35" spans="1:6" ht="20.100000000000001" customHeight="1">
      <c r="A35" s="10" t="s">
        <v>188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1-000000000000}">
  <sheetPr codeName="Sheet53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984</v>
      </c>
    </row>
    <row r="10" spans="1:6">
      <c r="A10" s="1" t="s">
        <v>983</v>
      </c>
      <c r="D10" s="21" t="s">
        <v>21</v>
      </c>
      <c r="E10" s="21" t="s">
        <v>452</v>
      </c>
    </row>
    <row r="11" spans="1:6">
      <c r="A11" s="1" t="s">
        <v>982</v>
      </c>
      <c r="D11" s="21" t="s">
        <v>19</v>
      </c>
      <c r="E11" s="21" t="s">
        <v>18</v>
      </c>
    </row>
    <row r="12" spans="1:6">
      <c r="A12" s="1" t="s">
        <v>981</v>
      </c>
      <c r="D12" s="21" t="s">
        <v>17</v>
      </c>
      <c r="E12" s="21" t="s">
        <v>980</v>
      </c>
    </row>
    <row r="13" spans="1:6">
      <c r="A13" s="1" t="s">
        <v>248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2:6">
      <c r="C19" s="44" t="s">
        <v>979</v>
      </c>
    </row>
    <row r="20" spans="2:6">
      <c r="C20" s="14" t="s">
        <v>978</v>
      </c>
    </row>
    <row r="21" spans="2:6">
      <c r="C21" s="44" t="s">
        <v>716</v>
      </c>
    </row>
    <row r="24" spans="2:6">
      <c r="C24" s="1" t="s">
        <v>977</v>
      </c>
      <c r="F24" s="1">
        <v>5500</v>
      </c>
    </row>
    <row r="25" spans="2:6">
      <c r="C25" s="13"/>
    </row>
    <row r="26" spans="2:6">
      <c r="C26" s="13"/>
    </row>
    <row r="27" spans="2:6">
      <c r="C27" s="13"/>
    </row>
    <row r="29" spans="2:6">
      <c r="B29" s="8"/>
    </row>
    <row r="30" spans="2:6">
      <c r="B30" s="8"/>
    </row>
    <row r="31" spans="2:6">
      <c r="B31" s="8"/>
    </row>
    <row r="33" spans="1:6" ht="13.5" thickBot="1">
      <c r="F33" s="12">
        <f>SUM(F20:F32)</f>
        <v>5500</v>
      </c>
    </row>
    <row r="34" spans="1:6" ht="13.5" thickTop="1"/>
    <row r="35" spans="1:6" ht="20.100000000000001" customHeight="1">
      <c r="A35" s="10" t="s">
        <v>976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3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1-000000000000}">
  <sheetPr codeName="Sheet45">
    <pageSetUpPr fitToPage="1"/>
  </sheetPr>
  <dimension ref="A1:F52"/>
  <sheetViews>
    <sheetView zoomScaleSheetLayoutView="100" workbookViewId="0">
      <selection activeCell="G9" sqref="G9:G13"/>
    </sheetView>
  </sheetViews>
  <sheetFormatPr defaultRowHeight="12.75"/>
  <cols>
    <col min="1" max="1" width="15.42578125" style="1" customWidth="1"/>
    <col min="2" max="2" width="13.28515625" style="1" customWidth="1"/>
    <col min="3" max="3" width="23" style="1" customWidth="1"/>
    <col min="4" max="4" width="14.7109375" style="1" customWidth="1"/>
    <col min="5" max="5" width="11.42578125" style="1" customWidth="1"/>
    <col min="6" max="6" width="14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5" spans="1:6">
      <c r="A5" s="57"/>
      <c r="B5" s="57"/>
      <c r="C5" s="57"/>
      <c r="D5" s="57"/>
      <c r="E5" s="57"/>
      <c r="F5" s="57"/>
    </row>
    <row r="6" spans="1:6">
      <c r="A6" s="57"/>
      <c r="B6" s="57"/>
      <c r="C6" s="57"/>
      <c r="D6" s="57"/>
      <c r="E6" s="57"/>
      <c r="F6" s="57"/>
    </row>
    <row r="7" spans="1:6">
      <c r="A7" s="111" t="s">
        <v>24</v>
      </c>
      <c r="B7" s="57"/>
      <c r="C7" s="57"/>
      <c r="D7" s="57"/>
      <c r="E7" s="57"/>
      <c r="F7" s="57"/>
    </row>
    <row r="8" spans="1:6" s="111" customFormat="1" ht="12.75" customHeight="1">
      <c r="B8" s="113"/>
      <c r="C8" s="113"/>
      <c r="D8" s="22" t="s">
        <v>23</v>
      </c>
      <c r="F8" s="113"/>
    </row>
    <row r="9" spans="1:6" s="111" customFormat="1">
      <c r="A9" s="111" t="s">
        <v>1116</v>
      </c>
      <c r="D9" s="112" t="s">
        <v>1119</v>
      </c>
      <c r="E9" s="126" t="s">
        <v>1736</v>
      </c>
    </row>
    <row r="10" spans="1:6" s="111" customFormat="1">
      <c r="A10" s="111" t="s">
        <v>1117</v>
      </c>
      <c r="D10" s="112" t="s">
        <v>1121</v>
      </c>
      <c r="E10" s="160" t="s">
        <v>1724</v>
      </c>
    </row>
    <row r="11" spans="1:6" s="111" customFormat="1">
      <c r="A11" s="111" t="s">
        <v>1118</v>
      </c>
      <c r="D11" s="112" t="s">
        <v>1093</v>
      </c>
      <c r="E11" s="160" t="s">
        <v>1094</v>
      </c>
    </row>
    <row r="12" spans="1:6" s="111" customFormat="1">
      <c r="A12" s="111" t="s">
        <v>1269</v>
      </c>
      <c r="D12" s="112" t="s">
        <v>1120</v>
      </c>
      <c r="E12" s="160" t="s">
        <v>1737</v>
      </c>
    </row>
    <row r="13" spans="1:6" s="111" customFormat="1">
      <c r="E13" s="126"/>
    </row>
    <row r="14" spans="1:6" s="111" customFormat="1"/>
    <row r="15" spans="1:6" s="111" customFormat="1" ht="14.25">
      <c r="A15" s="113"/>
      <c r="B15" s="113"/>
      <c r="C15" s="113"/>
      <c r="D15" s="113"/>
      <c r="E15" s="113"/>
      <c r="F15" s="113"/>
    </row>
    <row r="16" spans="1:6" s="15" customFormat="1" ht="20.100000000000001" customHeight="1">
      <c r="A16" s="73" t="s">
        <v>1113</v>
      </c>
      <c r="B16" s="73" t="s">
        <v>1098</v>
      </c>
      <c r="C16" s="74" t="s">
        <v>14</v>
      </c>
      <c r="D16" s="73"/>
      <c r="E16" s="72"/>
      <c r="F16" s="71" t="s">
        <v>13</v>
      </c>
    </row>
    <row r="17" spans="1:6" s="111" customFormat="1" ht="14.25">
      <c r="A17" s="114"/>
      <c r="B17" s="113"/>
      <c r="C17" s="113"/>
      <c r="D17" s="113"/>
      <c r="E17" s="113"/>
      <c r="F17" s="113"/>
    </row>
    <row r="18" spans="1:6" s="111" customFormat="1">
      <c r="A18" s="161" t="s">
        <v>1740</v>
      </c>
      <c r="B18" s="116" t="s">
        <v>1741</v>
      </c>
      <c r="C18" s="111" t="s">
        <v>1178</v>
      </c>
      <c r="F18" s="111">
        <f>2849*0.03</f>
        <v>85.47</v>
      </c>
    </row>
    <row r="19" spans="1:6" s="111" customFormat="1">
      <c r="A19" s="115"/>
      <c r="C19" s="111" t="s">
        <v>1738</v>
      </c>
    </row>
    <row r="20" spans="1:6" s="111" customFormat="1"/>
    <row r="21" spans="1:6" s="111" customFormat="1">
      <c r="A21" s="115"/>
      <c r="C21" s="111" t="s">
        <v>1179</v>
      </c>
      <c r="F21" s="111">
        <f>572*0.5</f>
        <v>286</v>
      </c>
    </row>
    <row r="22" spans="1:6" s="111" customFormat="1">
      <c r="A22" s="115"/>
      <c r="C22" s="111" t="s">
        <v>1739</v>
      </c>
    </row>
    <row r="23" spans="1:6" s="111" customFormat="1">
      <c r="A23" s="115"/>
    </row>
    <row r="24" spans="1:6" s="111" customFormat="1">
      <c r="A24" s="161"/>
      <c r="B24" s="116"/>
    </row>
    <row r="25" spans="1:6" s="111" customFormat="1">
      <c r="A25" s="115"/>
    </row>
    <row r="26" spans="1:6" s="111" customFormat="1"/>
    <row r="27" spans="1:6" s="111" customFormat="1"/>
    <row r="28" spans="1:6" s="111" customFormat="1"/>
    <row r="29" spans="1:6" s="111" customFormat="1"/>
    <row r="30" spans="1:6" s="111" customFormat="1"/>
    <row r="31" spans="1:6" s="111" customFormat="1">
      <c r="A31" s="115"/>
    </row>
    <row r="32" spans="1:6" s="111" customFormat="1">
      <c r="A32" s="115"/>
    </row>
    <row r="33" spans="1:6" s="111" customFormat="1" ht="13.5" thickBot="1">
      <c r="F33" s="117">
        <f>SUM(F20:F32)</f>
        <v>286</v>
      </c>
    </row>
    <row r="34" spans="1:6" s="111" customFormat="1" ht="13.5" thickTop="1"/>
    <row r="35" spans="1:6" s="111" customFormat="1" ht="20.100000000000001" customHeight="1">
      <c r="A35" s="118" t="s">
        <v>204</v>
      </c>
      <c r="B35" s="118" t="s">
        <v>1742</v>
      </c>
      <c r="C35" s="119"/>
      <c r="D35" s="119"/>
      <c r="E35" s="119"/>
      <c r="F35" s="119"/>
    </row>
    <row r="36" spans="1:6" s="111" customFormat="1">
      <c r="A36" s="120" t="s">
        <v>11</v>
      </c>
    </row>
    <row r="37" spans="1:6" s="111" customFormat="1">
      <c r="A37" s="111" t="s">
        <v>10</v>
      </c>
    </row>
    <row r="38" spans="1:6" s="111" customFormat="1"/>
    <row r="39" spans="1:6" s="111" customFormat="1" ht="25.5">
      <c r="A39" s="126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22"/>
      <c r="B42" s="122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11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275" t="s">
        <v>2948</v>
      </c>
      <c r="B50" s="13"/>
      <c r="C50" s="13"/>
      <c r="D50" s="13"/>
      <c r="E50" s="13"/>
      <c r="F50" s="13"/>
    </row>
    <row r="51" spans="1:6">
      <c r="A51" s="13"/>
      <c r="B51" s="13"/>
      <c r="C51" s="13"/>
      <c r="D51" s="2" t="s">
        <v>1</v>
      </c>
      <c r="E51" s="13"/>
      <c r="F51" s="13"/>
    </row>
    <row r="52" spans="1:6">
      <c r="A52" s="13"/>
      <c r="B52" s="13"/>
      <c r="C52" s="13"/>
      <c r="D52" s="2" t="s">
        <v>0</v>
      </c>
      <c r="E52" s="13"/>
      <c r="F52" s="13"/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3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1-000000000000}">
  <sheetPr codeName="Sheet292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42578125" style="111" customWidth="1"/>
    <col min="2" max="2" width="12.42578125" style="111" customWidth="1"/>
    <col min="3" max="3" width="22.42578125" style="111" customWidth="1"/>
    <col min="4" max="4" width="12.140625" style="111" customWidth="1"/>
    <col min="5" max="5" width="9.71093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1221</v>
      </c>
      <c r="E9" s="111" t="s">
        <v>3058</v>
      </c>
    </row>
    <row r="10" spans="1:6">
      <c r="A10" s="111" t="s">
        <v>2728</v>
      </c>
      <c r="D10" s="112" t="s">
        <v>1124</v>
      </c>
      <c r="E10" s="112" t="s">
        <v>3038</v>
      </c>
    </row>
    <row r="11" spans="1:6">
      <c r="A11" s="111" t="s">
        <v>2729</v>
      </c>
      <c r="D11" s="112" t="s">
        <v>1125</v>
      </c>
      <c r="E11" s="112" t="s">
        <v>1094</v>
      </c>
    </row>
    <row r="12" spans="1:6">
      <c r="A12" s="111" t="s">
        <v>2730</v>
      </c>
      <c r="D12" s="112" t="s">
        <v>1126</v>
      </c>
      <c r="E12" s="112" t="s">
        <v>1270</v>
      </c>
    </row>
    <row r="13" spans="1:6">
      <c r="A13" s="111" t="s">
        <v>2731</v>
      </c>
    </row>
    <row r="16" spans="1:6" s="15" customFormat="1" ht="20.100000000000001" customHeight="1">
      <c r="A16" s="18" t="s">
        <v>1113</v>
      </c>
      <c r="B16" s="129" t="s">
        <v>1114</v>
      </c>
      <c r="C16" s="19" t="s">
        <v>14</v>
      </c>
      <c r="D16" s="18"/>
      <c r="E16" s="17"/>
      <c r="F16" s="16" t="s">
        <v>13</v>
      </c>
    </row>
    <row r="18" spans="1:6">
      <c r="A18" s="148"/>
      <c r="C18" s="2" t="s">
        <v>2732</v>
      </c>
    </row>
    <row r="19" spans="1:6">
      <c r="C19" s="2"/>
    </row>
    <row r="20" spans="1:6">
      <c r="A20" s="116" t="s">
        <v>2988</v>
      </c>
      <c r="B20" s="120" t="s">
        <v>3070</v>
      </c>
      <c r="C20" s="111" t="s">
        <v>3071</v>
      </c>
      <c r="F20" s="111">
        <f>90000*3.3675</f>
        <v>303075</v>
      </c>
    </row>
    <row r="21" spans="1:6">
      <c r="A21" s="159"/>
    </row>
    <row r="22" spans="1:6">
      <c r="A22" s="252"/>
      <c r="C22" s="111" t="s">
        <v>1697</v>
      </c>
      <c r="F22" s="111">
        <v>30</v>
      </c>
    </row>
    <row r="23" spans="1:6">
      <c r="B23" s="157"/>
    </row>
    <row r="24" spans="1:6">
      <c r="B24" s="157"/>
      <c r="C24" s="205" t="s">
        <v>3072</v>
      </c>
    </row>
    <row r="26" spans="1:6">
      <c r="A26" s="159"/>
      <c r="C26" s="2"/>
    </row>
    <row r="27" spans="1:6">
      <c r="A27" s="252"/>
      <c r="B27" s="120"/>
      <c r="C27" s="2"/>
    </row>
    <row r="28" spans="1:6">
      <c r="A28" s="159"/>
      <c r="B28" s="120"/>
    </row>
    <row r="29" spans="1:6">
      <c r="A29" s="252"/>
      <c r="B29" s="120"/>
    </row>
    <row r="30" spans="1:6">
      <c r="A30" s="148"/>
      <c r="B30" s="120"/>
    </row>
    <row r="31" spans="1:6">
      <c r="A31" s="148"/>
      <c r="B31" s="120"/>
    </row>
    <row r="32" spans="1:6">
      <c r="A32" s="148"/>
      <c r="B32" s="120"/>
    </row>
    <row r="34" spans="1:6">
      <c r="F34" s="2"/>
    </row>
    <row r="35" spans="1:6" ht="13.5" thickBot="1">
      <c r="F35" s="117">
        <f>SUM(F20:F32)</f>
        <v>303105</v>
      </c>
    </row>
    <row r="36" spans="1:6" ht="13.5" thickTop="1"/>
    <row r="37" spans="1:6" ht="20.100000000000001" customHeight="1">
      <c r="A37" s="118" t="s">
        <v>204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>Three Hundred Three Thousand One Hundred Five and NO/100 -----------</v>
      </c>
      <c r="C37" s="119"/>
      <c r="D37" s="119"/>
      <c r="E37" s="119"/>
      <c r="F37" s="119"/>
    </row>
    <row r="38" spans="1:6">
      <c r="A38" s="120" t="s">
        <v>11</v>
      </c>
    </row>
    <row r="39" spans="1:6" ht="25.5">
      <c r="A39" s="126" t="s">
        <v>10</v>
      </c>
      <c r="D39" s="265" t="s">
        <v>2894</v>
      </c>
      <c r="E39" s="266"/>
      <c r="F39" s="267"/>
    </row>
    <row r="42" spans="1:6">
      <c r="A42" s="111" t="s">
        <v>52</v>
      </c>
      <c r="C42" s="121"/>
    </row>
    <row r="43" spans="1:6">
      <c r="A43" s="122"/>
      <c r="B43" s="122"/>
    </row>
    <row r="45" spans="1:6">
      <c r="A45" s="123" t="s">
        <v>8</v>
      </c>
      <c r="D45" s="123" t="s">
        <v>7</v>
      </c>
      <c r="F45" s="124"/>
    </row>
    <row r="49" spans="1:6">
      <c r="A49" s="122" t="s">
        <v>51</v>
      </c>
      <c r="B49" s="122"/>
      <c r="D49" s="122"/>
      <c r="E49" s="122"/>
      <c r="F49" s="122"/>
    </row>
    <row r="50" spans="1:6" s="126" customFormat="1" ht="17.100000000000001" customHeight="1">
      <c r="A50" s="151" t="s">
        <v>2948</v>
      </c>
      <c r="B50" s="125"/>
      <c r="D50" s="126" t="s">
        <v>3</v>
      </c>
    </row>
    <row r="51" spans="1:6">
      <c r="D51" s="111" t="s">
        <v>2</v>
      </c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17"/>
  <dimension ref="A1:H53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0.7109375" style="131" customWidth="1"/>
    <col min="4" max="4" width="21" style="131" customWidth="1"/>
    <col min="5" max="5" width="0.5703125" style="131" customWidth="1"/>
    <col min="6" max="6" width="16.42578125" style="131" customWidth="1"/>
    <col min="7" max="7" width="9" style="131" customWidth="1"/>
    <col min="8" max="8" width="13.28515625" style="131" customWidth="1"/>
    <col min="9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1110</v>
      </c>
      <c r="G9" s="132" t="s">
        <v>6232</v>
      </c>
    </row>
    <row r="10" spans="1:8">
      <c r="A10" s="131" t="s">
        <v>4214</v>
      </c>
      <c r="F10" s="132" t="s">
        <v>1685</v>
      </c>
      <c r="G10" s="132" t="s">
        <v>6230</v>
      </c>
    </row>
    <row r="11" spans="1:8">
      <c r="A11" s="131" t="s">
        <v>4215</v>
      </c>
      <c r="F11" s="132" t="s">
        <v>1163</v>
      </c>
      <c r="G11" s="132" t="s">
        <v>1094</v>
      </c>
    </row>
    <row r="12" spans="1:8">
      <c r="A12" s="131" t="s">
        <v>2955</v>
      </c>
      <c r="F12" s="132" t="s">
        <v>1188</v>
      </c>
      <c r="G12" s="111" t="s">
        <v>6233</v>
      </c>
    </row>
    <row r="13" spans="1:8">
      <c r="A13" s="131" t="s">
        <v>1413</v>
      </c>
      <c r="G13" s="111" t="s">
        <v>6048</v>
      </c>
    </row>
    <row r="14" spans="1:8">
      <c r="A14" s="131" t="s">
        <v>1437</v>
      </c>
    </row>
    <row r="16" spans="1:8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7" spans="1:8">
      <c r="A17" s="177"/>
    </row>
    <row r="18" spans="1:8">
      <c r="D18" s="110" t="s">
        <v>6234</v>
      </c>
      <c r="E18" s="110"/>
    </row>
    <row r="19" spans="1:8">
      <c r="A19" s="177"/>
      <c r="D19" s="110" t="s">
        <v>6235</v>
      </c>
      <c r="E19" s="110"/>
    </row>
    <row r="20" spans="1:8">
      <c r="A20" s="177"/>
      <c r="D20" s="110"/>
      <c r="E20" s="110"/>
    </row>
    <row r="21" spans="1:8">
      <c r="A21" s="158" t="s">
        <v>6231</v>
      </c>
      <c r="B21" s="158" t="s">
        <v>6236</v>
      </c>
      <c r="C21" s="158"/>
      <c r="D21" s="131" t="s">
        <v>6237</v>
      </c>
      <c r="H21" s="131">
        <f>215.52*12</f>
        <v>2586.2400000000002</v>
      </c>
    </row>
    <row r="22" spans="1:8">
      <c r="A22" s="158"/>
      <c r="B22" s="140"/>
      <c r="C22" s="140"/>
      <c r="D22" s="131" t="s">
        <v>4490</v>
      </c>
      <c r="H22" s="131">
        <v>258.60000000000002</v>
      </c>
    </row>
    <row r="23" spans="1:8">
      <c r="A23" s="158"/>
      <c r="B23" s="141"/>
      <c r="C23" s="141"/>
      <c r="D23" s="131" t="s">
        <v>5175</v>
      </c>
      <c r="H23" s="131">
        <v>155.16</v>
      </c>
    </row>
    <row r="26" spans="1:8">
      <c r="A26" s="254"/>
      <c r="B26" s="141"/>
      <c r="C26" s="141"/>
    </row>
    <row r="27" spans="1:8">
      <c r="D27" s="110"/>
      <c r="E27" s="110"/>
    </row>
    <row r="28" spans="1:8">
      <c r="D28" s="110"/>
      <c r="E28" s="110"/>
    </row>
    <row r="29" spans="1:8">
      <c r="A29" s="158"/>
      <c r="B29" s="141"/>
      <c r="C29" s="141"/>
    </row>
    <row r="30" spans="1:8">
      <c r="A30" s="158"/>
      <c r="B30" s="141"/>
      <c r="C30" s="141"/>
    </row>
    <row r="31" spans="1:8">
      <c r="A31" s="141"/>
    </row>
    <row r="32" spans="1:8">
      <c r="A32" s="254"/>
      <c r="B32" s="140"/>
      <c r="C32" s="140"/>
    </row>
    <row r="33" spans="1:8">
      <c r="A33" s="103"/>
      <c r="B33" s="86"/>
      <c r="C33" s="86"/>
      <c r="D33" s="86"/>
      <c r="E33" s="86"/>
      <c r="F33" s="86"/>
      <c r="G33" s="86"/>
      <c r="H33" s="86"/>
    </row>
    <row r="34" spans="1:8" ht="13.5" thickBot="1">
      <c r="A34" s="177"/>
      <c r="H34" s="137">
        <f>SUM(H19:H33)</f>
        <v>3000</v>
      </c>
    </row>
    <row r="35" spans="1:8" ht="13.5" thickTop="1">
      <c r="A35" s="177"/>
    </row>
    <row r="36" spans="1:8" ht="20.100000000000001" customHeight="1">
      <c r="A36" s="138" t="s">
        <v>1686</v>
      </c>
      <c r="B36" s="204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Thousand and NO/100 -----------</v>
      </c>
      <c r="C36" s="204"/>
      <c r="D36" s="139"/>
      <c r="E36" s="139"/>
      <c r="F36" s="293"/>
      <c r="G36" s="292"/>
      <c r="H36" s="292"/>
    </row>
    <row r="37" spans="1:8">
      <c r="A37" s="140"/>
    </row>
    <row r="38" spans="1:8" ht="25.5">
      <c r="A38" s="480" t="s">
        <v>10</v>
      </c>
      <c r="F38" s="283" t="s">
        <v>2894</v>
      </c>
      <c r="G38" s="284"/>
      <c r="H38" s="285"/>
    </row>
    <row r="39" spans="1:8">
      <c r="F39" s="291"/>
      <c r="G39" s="291"/>
      <c r="H39" s="291"/>
    </row>
    <row r="40" spans="1:8">
      <c r="F40" s="286"/>
      <c r="G40" s="287"/>
      <c r="H40" s="287"/>
    </row>
    <row r="41" spans="1:8">
      <c r="A41" s="86"/>
    </row>
    <row r="42" spans="1:8">
      <c r="A42" s="142"/>
      <c r="B42" s="142"/>
      <c r="C42" s="445"/>
    </row>
    <row r="44" spans="1:8">
      <c r="A44" s="131" t="s">
        <v>8</v>
      </c>
      <c r="D44" s="131" t="s">
        <v>8</v>
      </c>
      <c r="F44" s="143" t="s">
        <v>7</v>
      </c>
      <c r="H44" s="144"/>
    </row>
    <row r="48" spans="1:8">
      <c r="A48" s="142" t="s">
        <v>51</v>
      </c>
      <c r="B48" s="142"/>
      <c r="C48" s="445"/>
      <c r="D48" s="142" t="s">
        <v>51</v>
      </c>
      <c r="F48" s="142"/>
      <c r="G48" s="142"/>
      <c r="H48" s="142"/>
    </row>
    <row r="49" spans="1:8" s="109" customFormat="1" ht="17.100000000000001" customHeight="1">
      <c r="A49" s="147" t="s">
        <v>2948</v>
      </c>
      <c r="B49" s="146"/>
      <c r="C49" s="146"/>
      <c r="D49" s="147" t="s">
        <v>103</v>
      </c>
      <c r="E49" s="147"/>
      <c r="F49" s="147" t="s">
        <v>3</v>
      </c>
      <c r="G49" s="147"/>
      <c r="H49" s="147"/>
    </row>
    <row r="50" spans="1:8">
      <c r="F50" s="131" t="s">
        <v>2</v>
      </c>
    </row>
    <row r="52" spans="1:8">
      <c r="F52" s="110" t="s">
        <v>1</v>
      </c>
    </row>
    <row r="53" spans="1:8">
      <c r="F53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421"/>
  <dimension ref="A1:I60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3.85546875" style="227" customWidth="1"/>
    <col min="3" max="3" width="1.42578125" style="227" customWidth="1"/>
    <col min="4" max="4" width="19.85546875" style="227" customWidth="1"/>
    <col min="5" max="5" width="0.85546875" style="227" customWidth="1"/>
    <col min="6" max="6" width="16.42578125" style="227" customWidth="1"/>
    <col min="7" max="7" width="8.140625" style="227" customWidth="1"/>
    <col min="8" max="8" width="13.28515625" style="227" customWidth="1"/>
    <col min="9" max="9" width="16.140625" style="209" customWidth="1"/>
    <col min="10" max="16384" width="9.140625" style="209"/>
  </cols>
  <sheetData>
    <row r="1" spans="1:9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9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9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9" ht="12.75" customHeight="1">
      <c r="A4" s="532" t="s">
        <v>1684</v>
      </c>
      <c r="B4" s="532"/>
      <c r="C4" s="532"/>
      <c r="D4" s="532"/>
      <c r="E4" s="532"/>
      <c r="F4" s="532"/>
      <c r="G4" s="532"/>
      <c r="H4" s="532"/>
    </row>
    <row r="5" spans="1:9" ht="12.75" customHeight="1">
      <c r="A5" s="131"/>
      <c r="B5" s="131"/>
      <c r="C5" s="131"/>
      <c r="D5" s="131"/>
      <c r="E5" s="131"/>
      <c r="F5" s="131"/>
      <c r="G5" s="131"/>
      <c r="H5" s="131"/>
    </row>
    <row r="6" spans="1:9" ht="12.75" customHeight="1">
      <c r="A6" s="131"/>
      <c r="B6" s="131"/>
      <c r="C6" s="131"/>
      <c r="D6" s="131"/>
      <c r="E6" s="131"/>
      <c r="F6" s="131"/>
      <c r="G6" s="131"/>
      <c r="H6" s="131"/>
    </row>
    <row r="7" spans="1:9" ht="12.75" customHeight="1">
      <c r="A7" s="131"/>
      <c r="B7" s="131"/>
      <c r="C7" s="131"/>
      <c r="D7" s="131"/>
      <c r="E7" s="131"/>
      <c r="F7" s="131"/>
      <c r="G7" s="131"/>
      <c r="H7" s="131"/>
    </row>
    <row r="8" spans="1:9" s="211" customFormat="1" ht="12.75" customHeight="1">
      <c r="A8" s="147" t="s">
        <v>24</v>
      </c>
      <c r="B8" s="147"/>
      <c r="C8" s="147"/>
      <c r="D8" s="147"/>
      <c r="E8" s="147"/>
      <c r="F8" s="210" t="s">
        <v>23</v>
      </c>
      <c r="G8" s="147"/>
      <c r="H8" s="147"/>
    </row>
    <row r="9" spans="1:9" s="211" customFormat="1" ht="12.75" customHeight="1">
      <c r="A9" s="147" t="s">
        <v>4134</v>
      </c>
      <c r="B9" s="147"/>
      <c r="C9" s="147"/>
      <c r="D9" s="147"/>
      <c r="E9" s="147"/>
      <c r="F9" s="212" t="s">
        <v>1723</v>
      </c>
      <c r="G9" s="126" t="s">
        <v>4159</v>
      </c>
      <c r="H9" s="131"/>
    </row>
    <row r="10" spans="1:9" s="211" customFormat="1" ht="12.75" customHeight="1">
      <c r="A10" s="147" t="s">
        <v>4135</v>
      </c>
      <c r="B10" s="147"/>
      <c r="C10" s="147"/>
      <c r="D10" s="147"/>
      <c r="E10" s="147"/>
      <c r="F10" s="212" t="s">
        <v>1340</v>
      </c>
      <c r="G10" s="160" t="s">
        <v>4160</v>
      </c>
      <c r="H10" s="131"/>
    </row>
    <row r="11" spans="1:9" s="211" customFormat="1" ht="12.75" customHeight="1">
      <c r="A11" s="147" t="s">
        <v>4136</v>
      </c>
      <c r="B11" s="147"/>
      <c r="C11" s="147"/>
      <c r="D11" s="147"/>
      <c r="E11" s="147"/>
      <c r="F11" s="212" t="s">
        <v>1341</v>
      </c>
      <c r="G11" s="160" t="s">
        <v>1094</v>
      </c>
      <c r="H11" s="131"/>
    </row>
    <row r="12" spans="1:9" s="211" customFormat="1" ht="12.75" customHeight="1">
      <c r="A12" s="147" t="s">
        <v>1326</v>
      </c>
      <c r="B12" s="147"/>
      <c r="C12" s="147"/>
      <c r="D12" s="147"/>
      <c r="E12" s="147"/>
      <c r="F12" s="212" t="s">
        <v>2136</v>
      </c>
      <c r="G12" s="160" t="s">
        <v>4158</v>
      </c>
      <c r="H12" s="131"/>
    </row>
    <row r="13" spans="1:9" s="211" customFormat="1" ht="12.75" customHeight="1">
      <c r="A13" s="147" t="s">
        <v>4137</v>
      </c>
      <c r="B13" s="147"/>
      <c r="C13" s="147"/>
      <c r="D13" s="147"/>
      <c r="E13" s="147"/>
      <c r="F13" s="147"/>
      <c r="G13" s="131"/>
      <c r="H13" s="147"/>
    </row>
    <row r="14" spans="1:9" s="211" customFormat="1" ht="12.75" customHeight="1">
      <c r="A14" s="147" t="s">
        <v>4138</v>
      </c>
      <c r="B14" s="147"/>
      <c r="C14" s="147"/>
      <c r="D14" s="147"/>
      <c r="E14" s="147"/>
      <c r="F14" s="147"/>
      <c r="G14" s="147"/>
      <c r="H14" s="147"/>
    </row>
    <row r="15" spans="1:9" s="213" customFormat="1" ht="12.75" customHeight="1">
      <c r="A15" s="147"/>
      <c r="B15" s="147"/>
      <c r="C15" s="147"/>
      <c r="D15" s="147"/>
      <c r="E15" s="147"/>
      <c r="F15" s="147"/>
      <c r="G15" s="147"/>
      <c r="H15" s="147"/>
    </row>
    <row r="16" spans="1:9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I16" s="214"/>
    </row>
    <row r="17" spans="1:9" s="213" customFormat="1" ht="12.75" customHeight="1">
      <c r="A17" s="215"/>
      <c r="B17" s="216"/>
      <c r="C17" s="216"/>
      <c r="D17" s="217"/>
      <c r="E17" s="217"/>
      <c r="F17" s="216"/>
      <c r="G17" s="218"/>
      <c r="H17" s="219"/>
      <c r="I17" s="214"/>
    </row>
    <row r="18" spans="1:9" s="213" customFormat="1" ht="12.75" customHeight="1">
      <c r="D18" s="95" t="s">
        <v>4139</v>
      </c>
      <c r="I18" s="318"/>
    </row>
    <row r="19" spans="1:9" s="213" customFormat="1" ht="12.75" customHeight="1">
      <c r="A19" s="222"/>
      <c r="B19" s="281"/>
      <c r="C19" s="281"/>
      <c r="D19" s="145"/>
      <c r="E19" s="147"/>
      <c r="F19" s="145"/>
      <c r="G19" s="145"/>
      <c r="H19" s="320"/>
      <c r="I19" s="318"/>
    </row>
    <row r="20" spans="1:9" s="213" customFormat="1" ht="12.75" customHeight="1">
      <c r="A20" s="222" t="s">
        <v>4140</v>
      </c>
      <c r="B20" s="281" t="s">
        <v>4141</v>
      </c>
      <c r="C20" s="281"/>
      <c r="D20" s="145" t="s">
        <v>4143</v>
      </c>
      <c r="E20" s="145"/>
      <c r="F20" s="147"/>
      <c r="G20" s="147"/>
      <c r="H20" s="322">
        <v>3600</v>
      </c>
      <c r="I20" s="318"/>
    </row>
    <row r="21" spans="1:9" s="213" customFormat="1" ht="12.75" customHeight="1">
      <c r="A21" s="222"/>
      <c r="B21" s="281"/>
      <c r="C21" s="281"/>
      <c r="D21" s="145"/>
      <c r="E21" s="145"/>
      <c r="F21" s="147"/>
      <c r="G21" s="147"/>
      <c r="H21" s="322"/>
      <c r="I21" s="318"/>
    </row>
    <row r="22" spans="1:9" s="213" customFormat="1" ht="12.75" customHeight="1">
      <c r="C22" s="281"/>
      <c r="D22" s="145" t="s">
        <v>4142</v>
      </c>
      <c r="E22" s="145"/>
      <c r="F22" s="147"/>
      <c r="G22" s="147"/>
      <c r="H22" s="322">
        <v>100.8</v>
      </c>
      <c r="I22" s="318"/>
    </row>
    <row r="23" spans="1:9" s="213" customFormat="1" ht="12.75" customHeight="1">
      <c r="A23" s="222"/>
      <c r="B23" s="281"/>
      <c r="C23" s="281"/>
      <c r="D23" s="145"/>
      <c r="E23" s="147"/>
      <c r="F23" s="224"/>
      <c r="G23" s="224"/>
      <c r="H23" s="322"/>
      <c r="I23" s="224"/>
    </row>
    <row r="24" spans="1:9" s="224" customFormat="1" ht="12.75" customHeight="1">
      <c r="A24" s="222"/>
      <c r="B24" s="281"/>
      <c r="C24" s="281"/>
      <c r="D24" s="147"/>
      <c r="E24" s="147"/>
      <c r="H24" s="322"/>
    </row>
    <row r="25" spans="1:9" s="224" customFormat="1" ht="12.75" customHeight="1">
      <c r="A25" s="222"/>
      <c r="B25" s="281"/>
      <c r="C25" s="281"/>
      <c r="D25" s="147"/>
      <c r="E25" s="147"/>
      <c r="H25" s="322"/>
    </row>
    <row r="26" spans="1:9" s="224" customFormat="1" ht="12.75" customHeight="1">
      <c r="A26" s="222"/>
      <c r="B26" s="281"/>
      <c r="C26" s="281"/>
      <c r="D26" s="147"/>
      <c r="E26" s="147"/>
      <c r="H26" s="322"/>
    </row>
    <row r="27" spans="1:9" s="224" customFormat="1" ht="12.75" customHeight="1">
      <c r="A27" s="222"/>
      <c r="B27" s="281"/>
      <c r="C27" s="281"/>
      <c r="D27" s="147"/>
      <c r="E27" s="147"/>
      <c r="H27" s="322"/>
    </row>
    <row r="28" spans="1:9" s="224" customFormat="1" ht="12.75" customHeight="1">
      <c r="A28" s="222"/>
      <c r="B28" s="281"/>
      <c r="C28" s="281"/>
      <c r="D28" s="147"/>
      <c r="E28" s="147"/>
      <c r="H28" s="322"/>
    </row>
    <row r="29" spans="1:9" s="224" customFormat="1" ht="12.75" customHeight="1">
      <c r="A29" s="222"/>
      <c r="B29" s="281"/>
      <c r="C29" s="281"/>
      <c r="D29" s="147"/>
      <c r="E29" s="147"/>
      <c r="H29" s="322"/>
    </row>
    <row r="30" spans="1:9" s="224" customFormat="1" ht="12.75" customHeight="1">
      <c r="A30" s="222"/>
      <c r="B30" s="281"/>
      <c r="C30" s="281"/>
      <c r="D30" s="147"/>
      <c r="E30" s="147"/>
      <c r="H30" s="322"/>
    </row>
    <row r="31" spans="1:9" s="224" customFormat="1" ht="12.75" customHeight="1">
      <c r="A31" s="222"/>
      <c r="B31" s="281"/>
      <c r="C31" s="281"/>
      <c r="D31" s="147"/>
      <c r="E31" s="147"/>
      <c r="H31" s="322"/>
    </row>
    <row r="32" spans="1:9" s="227" customFormat="1" ht="12.75" customHeight="1">
      <c r="A32" s="222"/>
      <c r="B32" s="281"/>
      <c r="C32" s="281"/>
      <c r="D32" s="147"/>
      <c r="E32" s="147"/>
      <c r="F32" s="224"/>
      <c r="G32" s="224"/>
      <c r="H32" s="322"/>
    </row>
    <row r="33" spans="1:9" s="211" customFormat="1" ht="12.75" customHeight="1">
      <c r="A33" s="222"/>
      <c r="B33" s="281"/>
      <c r="C33" s="281"/>
      <c r="D33" s="147"/>
      <c r="E33" s="147"/>
      <c r="F33" s="147"/>
      <c r="G33" s="147"/>
      <c r="H33" s="147"/>
      <c r="I33" s="221"/>
    </row>
    <row r="34" spans="1:9" s="211" customFormat="1" ht="12.75" customHeight="1">
      <c r="A34" s="222"/>
      <c r="B34" s="281"/>
      <c r="C34" s="281"/>
      <c r="D34" s="147"/>
      <c r="E34" s="147"/>
      <c r="F34" s="147"/>
      <c r="G34" s="147"/>
      <c r="H34" s="147"/>
      <c r="I34" s="221"/>
    </row>
    <row r="35" spans="1:9" s="211" customFormat="1" ht="15.75" customHeight="1" thickBot="1">
      <c r="A35" s="229"/>
      <c r="B35" s="224"/>
      <c r="C35" s="224"/>
      <c r="D35" s="224"/>
      <c r="E35" s="224"/>
      <c r="F35" s="224"/>
      <c r="G35" s="224"/>
      <c r="H35" s="230">
        <f>SUM(H19:H34)</f>
        <v>3700.8</v>
      </c>
      <c r="I35" s="221"/>
    </row>
    <row r="36" spans="1:9" s="211" customFormat="1" ht="12.75" customHeight="1" thickTop="1">
      <c r="A36" s="229"/>
      <c r="B36" s="224"/>
      <c r="C36" s="224"/>
      <c r="D36" s="224"/>
      <c r="E36" s="224"/>
      <c r="F36" s="224"/>
      <c r="G36" s="224"/>
      <c r="H36" s="224"/>
      <c r="I36" s="221"/>
    </row>
    <row r="37" spans="1:9" ht="20.100000000000001" customHeight="1">
      <c r="A37" s="138" t="s">
        <v>1133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Thousand Seven Hundred and 80/100 -----------</v>
      </c>
      <c r="C37" s="204"/>
      <c r="D37" s="231"/>
      <c r="E37" s="231"/>
      <c r="F37" s="231"/>
      <c r="G37" s="231"/>
      <c r="H37" s="231"/>
    </row>
    <row r="38" spans="1:9" ht="12.75" customHeight="1">
      <c r="A38" s="232"/>
    </row>
    <row r="39" spans="1:9" ht="27" customHeight="1">
      <c r="A39" s="131" t="s">
        <v>10</v>
      </c>
      <c r="B39" s="131"/>
      <c r="C39" s="131"/>
      <c r="D39" s="131"/>
      <c r="E39" s="131"/>
      <c r="F39" s="283" t="s">
        <v>2894</v>
      </c>
      <c r="G39" s="284"/>
      <c r="H39" s="285"/>
    </row>
    <row r="40" spans="1:9" ht="12.75" customHeight="1">
      <c r="A40" s="131"/>
      <c r="B40" s="131"/>
      <c r="C40" s="131"/>
      <c r="D40" s="131"/>
      <c r="E40" s="131"/>
      <c r="F40" s="131"/>
      <c r="G40" s="131"/>
      <c r="H40" s="131"/>
    </row>
    <row r="41" spans="1:9" ht="12.75" customHeight="1">
      <c r="A41" s="131"/>
      <c r="B41" s="131"/>
      <c r="C41" s="131"/>
      <c r="D41" s="131"/>
      <c r="E41" s="131"/>
      <c r="F41" s="131"/>
      <c r="G41" s="131"/>
      <c r="H41" s="131"/>
    </row>
    <row r="42" spans="1:9">
      <c r="A42" s="301"/>
      <c r="B42" s="131"/>
      <c r="C42" s="131"/>
      <c r="D42" s="131"/>
      <c r="E42" s="131"/>
      <c r="F42" s="291"/>
      <c r="G42" s="291"/>
      <c r="H42" s="291"/>
    </row>
    <row r="43" spans="1:9">
      <c r="A43" s="248"/>
      <c r="B43" s="142"/>
      <c r="C43" s="131"/>
      <c r="D43" s="131"/>
      <c r="E43" s="131"/>
      <c r="F43" s="286"/>
      <c r="G43" s="287"/>
      <c r="H43" s="287"/>
    </row>
    <row r="44" spans="1:9" ht="12.75" customHeight="1">
      <c r="A44" s="301"/>
      <c r="B44" s="301"/>
      <c r="C44" s="301"/>
      <c r="D44" s="131"/>
      <c r="E44" s="131"/>
      <c r="F44" s="131"/>
      <c r="G44" s="131"/>
      <c r="H44" s="144"/>
    </row>
    <row r="45" spans="1:9" ht="12.75" customHeight="1">
      <c r="A45" s="301"/>
      <c r="B45" s="301"/>
      <c r="C45" s="301"/>
      <c r="D45" s="301"/>
      <c r="E45" s="131"/>
      <c r="F45" s="131"/>
      <c r="G45" s="131"/>
      <c r="H45" s="144"/>
    </row>
    <row r="46" spans="1:9" ht="12.75" customHeight="1">
      <c r="A46" s="143" t="s">
        <v>8</v>
      </c>
      <c r="B46" s="131"/>
      <c r="C46" s="131"/>
      <c r="D46" s="143"/>
      <c r="E46" s="131"/>
      <c r="F46" s="131"/>
      <c r="G46" s="131"/>
      <c r="H46" s="131"/>
    </row>
    <row r="47" spans="1:9" ht="12.75" customHeight="1">
      <c r="A47" s="301"/>
      <c r="B47" s="131"/>
      <c r="C47" s="131"/>
      <c r="D47" s="301"/>
      <c r="E47" s="131"/>
      <c r="F47" s="143" t="s">
        <v>7</v>
      </c>
      <c r="G47" s="131"/>
      <c r="H47" s="131"/>
    </row>
    <row r="48" spans="1:9" ht="12.75" customHeight="1">
      <c r="A48" s="143"/>
      <c r="B48" s="131"/>
      <c r="C48" s="131"/>
      <c r="D48" s="143"/>
      <c r="E48" s="131"/>
      <c r="F48" s="131"/>
      <c r="G48" s="131"/>
      <c r="H48" s="131"/>
    </row>
    <row r="49" spans="1:8" ht="12.75" customHeight="1">
      <c r="A49" s="143"/>
      <c r="B49" s="131"/>
      <c r="C49" s="131"/>
      <c r="D49" s="143"/>
      <c r="E49" s="131"/>
      <c r="F49" s="131"/>
      <c r="G49" s="131"/>
      <c r="H49" s="131"/>
    </row>
    <row r="50" spans="1:8" s="211" customFormat="1" ht="12.75" customHeight="1">
      <c r="A50" s="143"/>
      <c r="B50" s="131"/>
      <c r="C50" s="131"/>
      <c r="D50" s="143"/>
      <c r="E50" s="131"/>
      <c r="F50" s="131"/>
      <c r="G50" s="147"/>
      <c r="H50" s="147"/>
    </row>
    <row r="51" spans="1:8" ht="12.75" customHeight="1">
      <c r="A51" s="248"/>
      <c r="B51" s="142"/>
      <c r="C51" s="131"/>
      <c r="D51" s="143"/>
      <c r="E51" s="131"/>
      <c r="F51" s="142"/>
      <c r="G51" s="142"/>
      <c r="H51" s="142"/>
    </row>
    <row r="52" spans="1:8" ht="15" customHeight="1">
      <c r="A52" s="143" t="s">
        <v>2948</v>
      </c>
      <c r="B52" s="146"/>
      <c r="C52" s="146"/>
      <c r="D52" s="143"/>
      <c r="E52" s="147"/>
      <c r="F52" s="147" t="s">
        <v>3</v>
      </c>
      <c r="G52" s="131"/>
      <c r="H52" s="131"/>
    </row>
    <row r="53" spans="1:8" ht="12.75" customHeight="1">
      <c r="A53" s="143"/>
      <c r="B53" s="131"/>
      <c r="C53" s="131"/>
      <c r="D53" s="131"/>
      <c r="E53" s="131"/>
      <c r="F53" s="131" t="s">
        <v>2</v>
      </c>
      <c r="G53" s="131"/>
      <c r="H53" s="131"/>
    </row>
    <row r="54" spans="1:8" ht="12.75" customHeight="1">
      <c r="A54" s="131"/>
      <c r="B54" s="131"/>
      <c r="C54" s="131"/>
      <c r="D54" s="131"/>
      <c r="E54" s="131"/>
      <c r="F54" s="131"/>
      <c r="G54" s="131"/>
      <c r="H54" s="131"/>
    </row>
    <row r="55" spans="1:8" ht="12.75" customHeight="1">
      <c r="A55" s="131"/>
      <c r="B55" s="131"/>
      <c r="C55" s="131"/>
      <c r="D55" s="131"/>
      <c r="E55" s="131"/>
      <c r="F55" s="110" t="s">
        <v>1</v>
      </c>
      <c r="G55" s="131"/>
      <c r="H55" s="131"/>
    </row>
    <row r="56" spans="1:8" ht="12.75" customHeight="1">
      <c r="A56" s="131"/>
      <c r="B56" s="131"/>
      <c r="C56" s="131"/>
      <c r="D56" s="131"/>
      <c r="E56" s="131"/>
      <c r="F56" s="110" t="s">
        <v>0</v>
      </c>
      <c r="G56" s="131"/>
      <c r="H56" s="131"/>
    </row>
    <row r="57" spans="1:8" ht="12.75" customHeight="1">
      <c r="A57" s="131"/>
      <c r="B57" s="131"/>
      <c r="C57" s="131"/>
      <c r="D57" s="131"/>
      <c r="E57" s="131"/>
      <c r="F57" s="131"/>
      <c r="G57" s="131"/>
      <c r="H57" s="131"/>
    </row>
    <row r="58" spans="1:8" ht="12.75" customHeight="1">
      <c r="A58" s="131"/>
      <c r="B58" s="131"/>
      <c r="C58" s="131"/>
      <c r="D58" s="131"/>
      <c r="E58" s="131"/>
      <c r="F58" s="131"/>
      <c r="G58" s="131"/>
      <c r="H58" s="131"/>
    </row>
    <row r="59" spans="1:8">
      <c r="A59" s="131"/>
      <c r="B59" s="131"/>
      <c r="C59" s="131"/>
      <c r="D59" s="131"/>
      <c r="E59" s="131"/>
      <c r="F59" s="131"/>
      <c r="G59" s="131"/>
      <c r="H59" s="131"/>
    </row>
    <row r="60" spans="1:8">
      <c r="A60" s="131"/>
      <c r="B60" s="131"/>
      <c r="C60" s="131"/>
      <c r="D60" s="131"/>
      <c r="E60" s="131"/>
      <c r="F60" s="131"/>
      <c r="G60" s="131"/>
      <c r="H60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4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1-000000000000}">
  <sheetPr codeName="Sheet468">
    <pageSetUpPr fitToPage="1"/>
  </sheetPr>
  <dimension ref="A1:F56"/>
  <sheetViews>
    <sheetView topLeftCell="A28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 t="s">
        <v>4393</v>
      </c>
      <c r="B9" s="111"/>
      <c r="C9" s="111"/>
      <c r="D9" s="112" t="s">
        <v>1127</v>
      </c>
      <c r="E9" s="111" t="s">
        <v>4392</v>
      </c>
      <c r="F9" s="111"/>
    </row>
    <row r="10" spans="1:6">
      <c r="A10" s="111" t="s">
        <v>4394</v>
      </c>
      <c r="B10" s="111"/>
      <c r="C10" s="111"/>
      <c r="D10" s="112" t="s">
        <v>1162</v>
      </c>
      <c r="E10" s="123" t="s">
        <v>4390</v>
      </c>
      <c r="F10" s="111"/>
    </row>
    <row r="11" spans="1:6">
      <c r="A11" s="111" t="s">
        <v>4395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4396</v>
      </c>
      <c r="B12" s="111"/>
      <c r="C12" s="111"/>
      <c r="D12" s="112" t="s">
        <v>1135</v>
      </c>
      <c r="E12" s="112" t="s">
        <v>1270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2" t="s">
        <v>4397</v>
      </c>
      <c r="D18" s="111"/>
      <c r="E18" s="111"/>
      <c r="F18" s="111"/>
    </row>
    <row r="19" spans="1:6">
      <c r="A19" s="111"/>
      <c r="B19" s="111"/>
      <c r="C19" s="111"/>
      <c r="D19" s="111"/>
      <c r="E19" s="111"/>
      <c r="F19" s="111"/>
    </row>
    <row r="20" spans="1:6">
      <c r="A20" s="116" t="s">
        <v>4370</v>
      </c>
      <c r="B20" s="116" t="s">
        <v>1920</v>
      </c>
      <c r="C20" s="111" t="s">
        <v>4398</v>
      </c>
      <c r="D20" s="111"/>
      <c r="E20" s="111"/>
      <c r="F20" s="111">
        <f>4.362*135</f>
        <v>588.87</v>
      </c>
    </row>
    <row r="21" spans="1:6">
      <c r="A21" s="116"/>
      <c r="B21" s="116"/>
      <c r="C21" s="111" t="s">
        <v>1697</v>
      </c>
      <c r="D21" s="111"/>
      <c r="E21" s="111"/>
      <c r="F21" s="111">
        <v>20</v>
      </c>
    </row>
    <row r="22" spans="1:6">
      <c r="C22" s="111" t="s">
        <v>1814</v>
      </c>
      <c r="D22" s="111"/>
      <c r="E22" s="111"/>
      <c r="F22" s="111">
        <f>F21*6%</f>
        <v>1.2</v>
      </c>
    </row>
    <row r="23" spans="1:6">
      <c r="A23" s="116"/>
      <c r="B23" s="116"/>
      <c r="C23" s="111"/>
      <c r="D23" s="111"/>
      <c r="E23" s="111"/>
      <c r="F23" s="111"/>
    </row>
    <row r="24" spans="1:6">
      <c r="A24" s="116"/>
      <c r="B24" s="116"/>
      <c r="C24" s="111"/>
      <c r="D24" s="111"/>
      <c r="E24" s="111"/>
      <c r="F24" s="111"/>
    </row>
    <row r="25" spans="1:6">
      <c r="A25" s="116"/>
      <c r="B25" s="121"/>
      <c r="C25" s="2"/>
      <c r="D25" s="111"/>
      <c r="E25" s="111"/>
      <c r="F25" s="111"/>
    </row>
    <row r="26" spans="1:6">
      <c r="A26" s="116"/>
      <c r="B26" s="121"/>
      <c r="C26" s="111"/>
      <c r="D26" s="111"/>
      <c r="E26" s="111"/>
      <c r="F26" s="111"/>
    </row>
    <row r="27" spans="1:6">
      <c r="A27" s="116"/>
      <c r="B27" s="121"/>
      <c r="C27" s="111"/>
      <c r="D27" s="111"/>
      <c r="E27" s="111"/>
      <c r="F27" s="111"/>
    </row>
    <row r="28" spans="1:6">
      <c r="A28" s="116"/>
      <c r="B28" s="121"/>
      <c r="C28" s="111"/>
      <c r="D28" s="111"/>
      <c r="E28" s="111"/>
      <c r="F28" s="111"/>
    </row>
    <row r="29" spans="1:6">
      <c r="A29" s="116"/>
      <c r="B29" s="120"/>
      <c r="C29" s="111"/>
      <c r="D29" s="111"/>
      <c r="E29" s="111"/>
      <c r="F29" s="111"/>
    </row>
    <row r="30" spans="1:6">
      <c r="A30" s="116"/>
      <c r="B30" s="120"/>
      <c r="C30" s="111"/>
      <c r="D30" s="111"/>
      <c r="E30" s="111"/>
      <c r="F30" s="111"/>
    </row>
    <row r="31" spans="1:6">
      <c r="A31" s="159"/>
      <c r="B31" s="120"/>
      <c r="C31" s="111"/>
      <c r="D31" s="111"/>
      <c r="E31" s="111"/>
      <c r="F31" s="111"/>
    </row>
    <row r="32" spans="1:6">
      <c r="A32" s="159"/>
      <c r="B32" s="120"/>
      <c r="C32" s="111"/>
      <c r="D32" s="111"/>
      <c r="E32" s="111"/>
      <c r="F32" s="111"/>
    </row>
    <row r="33" spans="1:6">
      <c r="A33" s="252"/>
      <c r="B33" s="120"/>
      <c r="C33" s="111"/>
      <c r="D33" s="111"/>
      <c r="E33" s="111"/>
      <c r="F33" s="111"/>
    </row>
    <row r="34" spans="1:6">
      <c r="A34" s="148"/>
      <c r="B34" s="111"/>
      <c r="C34" s="111"/>
      <c r="D34" s="111"/>
      <c r="E34" s="111"/>
    </row>
    <row r="35" spans="1:6" ht="13.5" thickBot="1">
      <c r="A35" s="111"/>
      <c r="B35" s="111"/>
      <c r="C35" s="111"/>
      <c r="D35" s="111"/>
      <c r="E35" s="111"/>
      <c r="F35" s="117">
        <f>SUM(F20:F34)</f>
        <v>610.07000000000005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Six Hundred Ten and 7/100 -----------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B44" s="111"/>
      <c r="C44" s="111"/>
      <c r="D44" s="111"/>
      <c r="E44" s="111"/>
      <c r="F44" s="111"/>
    </row>
    <row r="45" spans="1:6">
      <c r="A45" s="123" t="s">
        <v>8</v>
      </c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1-000000000000}">
  <sheetPr codeName="Sheet361">
    <pageSetUpPr fitToPage="1"/>
  </sheetPr>
  <dimension ref="A1:F52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2930</v>
      </c>
    </row>
    <row r="10" spans="1:6">
      <c r="A10" s="111" t="s">
        <v>2918</v>
      </c>
      <c r="D10" s="112" t="s">
        <v>1162</v>
      </c>
      <c r="E10" s="112" t="s">
        <v>2917</v>
      </c>
    </row>
    <row r="11" spans="1:6">
      <c r="A11" s="111" t="s">
        <v>2919</v>
      </c>
      <c r="D11" s="112" t="s">
        <v>1163</v>
      </c>
      <c r="E11" s="112" t="s">
        <v>1094</v>
      </c>
    </row>
    <row r="12" spans="1:6">
      <c r="A12" s="111" t="s">
        <v>2920</v>
      </c>
      <c r="D12" s="112" t="s">
        <v>1135</v>
      </c>
      <c r="E12" s="112" t="s">
        <v>2944</v>
      </c>
    </row>
    <row r="13" spans="1:6">
      <c r="A13" s="111" t="s">
        <v>2921</v>
      </c>
    </row>
    <row r="14" spans="1:6">
      <c r="A14" s="111" t="s">
        <v>2922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2923</v>
      </c>
    </row>
    <row r="19" spans="1:6">
      <c r="A19" s="161"/>
      <c r="B19" s="116"/>
    </row>
    <row r="20" spans="1:6">
      <c r="A20" s="116" t="s">
        <v>2924</v>
      </c>
      <c r="B20" s="116" t="s">
        <v>2925</v>
      </c>
      <c r="C20" s="111" t="s">
        <v>2926</v>
      </c>
      <c r="F20" s="111">
        <f>495*2*4</f>
        <v>3960</v>
      </c>
    </row>
    <row r="21" spans="1:6">
      <c r="C21" s="111" t="s">
        <v>2927</v>
      </c>
    </row>
    <row r="23" spans="1:6">
      <c r="C23" s="111" t="s">
        <v>2928</v>
      </c>
      <c r="F23" s="111">
        <v>1000</v>
      </c>
    </row>
    <row r="25" spans="1:6">
      <c r="C25" s="111" t="s">
        <v>2929</v>
      </c>
      <c r="F25" s="111">
        <v>360</v>
      </c>
    </row>
    <row r="27" spans="1:6">
      <c r="F27" s="2"/>
    </row>
    <row r="28" spans="1:6">
      <c r="B28" s="120"/>
    </row>
    <row r="29" spans="1:6">
      <c r="B29" s="120"/>
    </row>
    <row r="30" spans="1:6">
      <c r="B30" s="120"/>
    </row>
    <row r="31" spans="1:6">
      <c r="B31" s="120"/>
    </row>
    <row r="33" spans="1:6" ht="13.5" thickBot="1">
      <c r="F33" s="127">
        <f>SUM(F19:F32)</f>
        <v>5320</v>
      </c>
    </row>
    <row r="34" spans="1:6" ht="13.5" thickTop="1"/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Five Thousand Three Hundred Twenty and NO/100 -----------</v>
      </c>
      <c r="C35" s="119"/>
      <c r="D35" s="119"/>
      <c r="E35" s="119"/>
      <c r="F35" s="261"/>
    </row>
    <row r="36" spans="1:6">
      <c r="A36" s="120"/>
    </row>
    <row r="37" spans="1:6" ht="25.5">
      <c r="A37" s="123" t="s">
        <v>10</v>
      </c>
      <c r="D37" s="265" t="s">
        <v>2894</v>
      </c>
      <c r="E37" s="266"/>
      <c r="F37" s="267"/>
    </row>
    <row r="38" spans="1:6">
      <c r="A38" s="123"/>
    </row>
    <row r="39" spans="1:6">
      <c r="A39" s="126"/>
    </row>
    <row r="40" spans="1:6">
      <c r="A40" s="123"/>
      <c r="C40" s="121"/>
    </row>
    <row r="41" spans="1:6">
      <c r="A41" s="150"/>
      <c r="B41" s="122"/>
    </row>
    <row r="43" spans="1:6">
      <c r="A43" s="123" t="s">
        <v>8</v>
      </c>
      <c r="D43" s="123" t="s">
        <v>7</v>
      </c>
      <c r="F43" s="124"/>
    </row>
    <row r="44" spans="1:6">
      <c r="A44" s="123"/>
    </row>
    <row r="45" spans="1:6">
      <c r="A45" s="123"/>
    </row>
    <row r="46" spans="1:6">
      <c r="A46" s="123"/>
    </row>
    <row r="47" spans="1:6">
      <c r="A47" s="150"/>
      <c r="B47" s="122"/>
      <c r="D47" s="122"/>
      <c r="E47" s="122"/>
      <c r="F47" s="122"/>
    </row>
    <row r="48" spans="1:6" s="126" customFormat="1" ht="17.100000000000001" customHeight="1">
      <c r="A48" s="123" t="s">
        <v>2895</v>
      </c>
      <c r="B48" s="125"/>
      <c r="D48" s="126" t="s">
        <v>3</v>
      </c>
    </row>
    <row r="49" spans="1:4">
      <c r="A49" s="123"/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4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1-000000000000}">
  <sheetPr codeName="Sheet362">
    <pageSetUpPr fitToPage="1"/>
  </sheetPr>
  <dimension ref="A1:F53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2871</v>
      </c>
    </row>
    <row r="10" spans="1:6">
      <c r="A10" s="111" t="s">
        <v>2873</v>
      </c>
      <c r="D10" s="112" t="s">
        <v>1162</v>
      </c>
      <c r="E10" s="112" t="s">
        <v>2870</v>
      </c>
    </row>
    <row r="11" spans="1:6">
      <c r="A11" s="111" t="s">
        <v>2874</v>
      </c>
      <c r="D11" s="112" t="s">
        <v>1163</v>
      </c>
      <c r="E11" s="112" t="s">
        <v>1094</v>
      </c>
    </row>
    <row r="12" spans="1:6">
      <c r="A12" s="111" t="s">
        <v>2875</v>
      </c>
      <c r="D12" s="112" t="s">
        <v>1135</v>
      </c>
      <c r="E12" s="112" t="s">
        <v>2872</v>
      </c>
    </row>
    <row r="13" spans="1:6">
      <c r="A13" s="111" t="s">
        <v>1149</v>
      </c>
    </row>
    <row r="14" spans="1:6">
      <c r="A14" s="111" t="s">
        <v>2876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2877</v>
      </c>
    </row>
    <row r="20" spans="1:6">
      <c r="A20" s="116" t="s">
        <v>2878</v>
      </c>
      <c r="B20" s="116"/>
      <c r="C20" s="111" t="s">
        <v>2879</v>
      </c>
      <c r="F20" s="111">
        <v>2000</v>
      </c>
    </row>
    <row r="21" spans="1:6">
      <c r="C21" s="111" t="s">
        <v>2880</v>
      </c>
      <c r="F21" s="111">
        <v>2556.1</v>
      </c>
    </row>
    <row r="22" spans="1:6">
      <c r="C22" s="111" t="s">
        <v>2881</v>
      </c>
      <c r="F22" s="111">
        <v>1500</v>
      </c>
    </row>
    <row r="25" spans="1:6">
      <c r="C25" s="2"/>
    </row>
    <row r="26" spans="1:6">
      <c r="C26" s="2"/>
    </row>
    <row r="27" spans="1:6">
      <c r="C27" s="2"/>
    </row>
    <row r="28" spans="1:6">
      <c r="C28" s="2"/>
    </row>
    <row r="29" spans="1:6">
      <c r="A29" s="116"/>
      <c r="B29" s="116"/>
    </row>
    <row r="34" spans="1:6" ht="13.5" thickBot="1">
      <c r="F34" s="127">
        <f>SUM(F20:F32)</f>
        <v>6056.1</v>
      </c>
    </row>
    <row r="35" spans="1:6" ht="13.5" thickTop="1"/>
    <row r="36" spans="1:6" ht="20.100000000000001" customHeight="1">
      <c r="A36" s="118" t="s">
        <v>1133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Six Thousand Fifty-Six and 10/100 -----------</v>
      </c>
      <c r="C36" s="119"/>
      <c r="D36" s="119"/>
      <c r="E36" s="119"/>
      <c r="F36" s="261"/>
    </row>
    <row r="37" spans="1:6">
      <c r="A37" s="120"/>
    </row>
    <row r="38" spans="1:6">
      <c r="A38" s="123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23"/>
    </row>
    <row r="41" spans="1:6">
      <c r="A41" s="123"/>
      <c r="C41" s="121"/>
    </row>
    <row r="42" spans="1:6">
      <c r="A42" s="150"/>
      <c r="B42" s="122"/>
    </row>
    <row r="44" spans="1:6">
      <c r="A44" s="123" t="s">
        <v>8</v>
      </c>
      <c r="D44" s="123" t="s">
        <v>7</v>
      </c>
      <c r="F44" s="124"/>
    </row>
    <row r="45" spans="1:6">
      <c r="A45" s="123"/>
    </row>
    <row r="46" spans="1:6">
      <c r="A46" s="123"/>
    </row>
    <row r="47" spans="1:6">
      <c r="A47" s="123"/>
    </row>
    <row r="48" spans="1:6">
      <c r="A48" s="150"/>
      <c r="B48" s="122"/>
      <c r="D48" s="122"/>
      <c r="E48" s="122"/>
      <c r="F48" s="122"/>
    </row>
    <row r="49" spans="1:4" s="126" customFormat="1" ht="17.100000000000001" customHeight="1">
      <c r="A49" s="151" t="s">
        <v>4</v>
      </c>
      <c r="B49" s="125"/>
      <c r="D49" s="126" t="s">
        <v>3</v>
      </c>
    </row>
    <row r="50" spans="1:4">
      <c r="A50" s="151" t="s">
        <v>2948</v>
      </c>
      <c r="D50" s="111" t="s">
        <v>2</v>
      </c>
    </row>
    <row r="51" spans="1:4">
      <c r="A51" s="123"/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4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1-000000000000}">
  <sheetPr codeName="Sheet293">
    <pageSetUpPr fitToPage="1"/>
  </sheetPr>
  <dimension ref="A1:F53"/>
  <sheetViews>
    <sheetView topLeftCell="A10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26" t="s">
        <v>3278</v>
      </c>
    </row>
    <row r="10" spans="1:6">
      <c r="A10" s="111" t="s">
        <v>2642</v>
      </c>
      <c r="D10" s="112" t="s">
        <v>1162</v>
      </c>
      <c r="E10" s="160" t="s">
        <v>3277</v>
      </c>
    </row>
    <row r="11" spans="1:6">
      <c r="A11" s="111" t="s">
        <v>2643</v>
      </c>
      <c r="D11" s="112" t="s">
        <v>1163</v>
      </c>
      <c r="E11" s="160" t="s">
        <v>1094</v>
      </c>
    </row>
    <row r="12" spans="1:6">
      <c r="A12" s="111" t="s">
        <v>2644</v>
      </c>
      <c r="D12" s="112" t="s">
        <v>1135</v>
      </c>
      <c r="E12" s="160" t="s">
        <v>3279</v>
      </c>
    </row>
    <row r="13" spans="1:6">
      <c r="A13" s="111" t="s">
        <v>1365</v>
      </c>
    </row>
    <row r="14" spans="1:6">
      <c r="A14" s="111" t="s">
        <v>2645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3280</v>
      </c>
    </row>
    <row r="20" spans="1:6">
      <c r="A20" s="116" t="s">
        <v>3242</v>
      </c>
      <c r="B20" s="116" t="s">
        <v>3281</v>
      </c>
      <c r="C20" s="111" t="s">
        <v>2350</v>
      </c>
      <c r="F20" s="111">
        <v>50</v>
      </c>
    </row>
    <row r="21" spans="1:6">
      <c r="C21" s="111" t="s">
        <v>2351</v>
      </c>
      <c r="F21" s="111">
        <v>50</v>
      </c>
    </row>
    <row r="22" spans="1:6">
      <c r="C22" s="111" t="s">
        <v>3144</v>
      </c>
      <c r="F22" s="111">
        <v>50</v>
      </c>
    </row>
    <row r="23" spans="1:6">
      <c r="C23" s="111" t="s">
        <v>2353</v>
      </c>
      <c r="F23" s="111">
        <v>60</v>
      </c>
    </row>
    <row r="24" spans="1:6">
      <c r="C24" s="111" t="s">
        <v>2212</v>
      </c>
      <c r="F24" s="111">
        <v>60</v>
      </c>
    </row>
    <row r="25" spans="1:6">
      <c r="C25" s="2"/>
    </row>
    <row r="26" spans="1:6">
      <c r="C26" s="2"/>
    </row>
    <row r="27" spans="1:6">
      <c r="C27" s="2"/>
    </row>
    <row r="28" spans="1:6">
      <c r="C28" s="2"/>
    </row>
    <row r="29" spans="1:6">
      <c r="A29" s="116"/>
      <c r="B29" s="116"/>
    </row>
    <row r="34" spans="1:6" ht="13.5" thickBot="1">
      <c r="F34" s="127">
        <f>SUM(F20:F32)</f>
        <v>270</v>
      </c>
    </row>
    <row r="35" spans="1:6" ht="13.5" thickTop="1"/>
    <row r="36" spans="1:6" ht="20.100000000000001" customHeight="1">
      <c r="A36" s="118" t="s">
        <v>1133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Two Hundred Seventy and NO/100 -----------</v>
      </c>
      <c r="C36" s="119"/>
      <c r="D36" s="119"/>
      <c r="E36" s="119"/>
      <c r="F36" s="261"/>
    </row>
    <row r="37" spans="1:6">
      <c r="A37" s="120"/>
    </row>
    <row r="38" spans="1:6" ht="25.5">
      <c r="A38" s="123" t="s">
        <v>10</v>
      </c>
      <c r="D38" s="265" t="s">
        <v>2894</v>
      </c>
      <c r="E38" s="266"/>
      <c r="F38" s="267"/>
    </row>
    <row r="39" spans="1:6">
      <c r="A39" s="126"/>
    </row>
    <row r="40" spans="1:6">
      <c r="A40" s="123"/>
    </row>
    <row r="41" spans="1:6">
      <c r="A41" s="123"/>
      <c r="C41" s="121"/>
    </row>
    <row r="42" spans="1:6">
      <c r="A42" s="150"/>
      <c r="B42" s="122"/>
    </row>
    <row r="44" spans="1:6">
      <c r="A44" s="123" t="s">
        <v>8</v>
      </c>
      <c r="D44" s="123" t="s">
        <v>7</v>
      </c>
      <c r="F44" s="124"/>
    </row>
    <row r="45" spans="1:6">
      <c r="A45" s="123"/>
    </row>
    <row r="46" spans="1:6">
      <c r="A46" s="123"/>
    </row>
    <row r="47" spans="1:6">
      <c r="A47" s="123"/>
    </row>
    <row r="48" spans="1:6">
      <c r="A48" s="150"/>
      <c r="B48" s="122"/>
      <c r="D48" s="122"/>
      <c r="E48" s="122"/>
      <c r="F48" s="122"/>
    </row>
    <row r="49" spans="1:4" s="126" customFormat="1" ht="17.100000000000001" customHeight="1">
      <c r="A49" s="151" t="s">
        <v>2948</v>
      </c>
      <c r="B49" s="125"/>
      <c r="D49" s="126" t="s">
        <v>3</v>
      </c>
    </row>
    <row r="50" spans="1:4">
      <c r="A50" s="151"/>
      <c r="D50" s="111" t="s">
        <v>2</v>
      </c>
    </row>
    <row r="51" spans="1:4">
      <c r="A51" s="123"/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4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1-000000000000}">
  <sheetPr codeName="Sheet294"/>
  <dimension ref="A1:G52"/>
  <sheetViews>
    <sheetView zoomScaleSheetLayoutView="100" workbookViewId="0">
      <selection activeCell="G9" sqref="G9:G13"/>
    </sheetView>
  </sheetViews>
  <sheetFormatPr defaultRowHeight="12.75"/>
  <cols>
    <col min="1" max="1" width="15.42578125" style="1" customWidth="1"/>
    <col min="2" max="2" width="12.140625" style="1" customWidth="1"/>
    <col min="3" max="3" width="23" style="1" customWidth="1"/>
    <col min="4" max="4" width="14.7109375" style="1" customWidth="1"/>
    <col min="5" max="5" width="10.5703125" style="1" customWidth="1"/>
    <col min="6" max="6" width="13.7109375" style="1" customWidth="1"/>
    <col min="7" max="16384" width="9.140625" style="1"/>
  </cols>
  <sheetData>
    <row r="1" spans="1:7" ht="15">
      <c r="A1" s="528" t="s">
        <v>26</v>
      </c>
      <c r="B1" s="528"/>
      <c r="C1" s="528"/>
      <c r="D1" s="528"/>
      <c r="E1" s="528"/>
      <c r="F1" s="528"/>
    </row>
    <row r="2" spans="1:7">
      <c r="A2" s="529" t="s">
        <v>25</v>
      </c>
      <c r="B2" s="529"/>
      <c r="C2" s="529"/>
      <c r="D2" s="529"/>
      <c r="E2" s="529"/>
      <c r="F2" s="529"/>
    </row>
    <row r="3" spans="1:7">
      <c r="A3" s="529" t="s">
        <v>1480</v>
      </c>
      <c r="B3" s="529"/>
      <c r="C3" s="529"/>
      <c r="D3" s="529"/>
      <c r="E3" s="529"/>
      <c r="F3" s="529"/>
    </row>
    <row r="4" spans="1:7">
      <c r="A4" s="529" t="s">
        <v>1481</v>
      </c>
      <c r="B4" s="529"/>
      <c r="C4" s="529"/>
      <c r="D4" s="529"/>
      <c r="E4" s="529"/>
      <c r="F4" s="529"/>
    </row>
    <row r="5" spans="1:7">
      <c r="A5" s="57"/>
      <c r="B5" s="57"/>
      <c r="C5" s="57"/>
      <c r="D5" s="57"/>
      <c r="E5" s="57"/>
      <c r="F5" s="57"/>
    </row>
    <row r="6" spans="1:7">
      <c r="A6" s="57"/>
      <c r="B6" s="57"/>
      <c r="C6" s="57"/>
      <c r="D6" s="57"/>
      <c r="E6" s="57"/>
      <c r="F6" s="57"/>
    </row>
    <row r="7" spans="1:7">
      <c r="A7" s="111" t="s">
        <v>24</v>
      </c>
      <c r="B7" s="57"/>
      <c r="C7" s="57"/>
      <c r="D7" s="57"/>
      <c r="E7" s="57"/>
      <c r="F7" s="57"/>
    </row>
    <row r="8" spans="1:7" s="111" customFormat="1" ht="12.75" customHeight="1">
      <c r="B8" s="113"/>
      <c r="C8" s="113"/>
      <c r="D8" s="22" t="s">
        <v>23</v>
      </c>
      <c r="F8" s="113"/>
    </row>
    <row r="9" spans="1:7" s="111" customFormat="1">
      <c r="A9" s="111" t="s">
        <v>2785</v>
      </c>
      <c r="D9" s="112" t="s">
        <v>1119</v>
      </c>
      <c r="E9" s="111" t="s">
        <v>2735</v>
      </c>
    </row>
    <row r="10" spans="1:7" s="111" customFormat="1">
      <c r="A10" s="111" t="s">
        <v>2739</v>
      </c>
      <c r="D10" s="112" t="s">
        <v>1121</v>
      </c>
      <c r="E10" s="123" t="s">
        <v>2734</v>
      </c>
    </row>
    <row r="11" spans="1:7" s="111" customFormat="1">
      <c r="A11" s="111" t="s">
        <v>2736</v>
      </c>
      <c r="D11" s="112" t="s">
        <v>1093</v>
      </c>
      <c r="E11" s="112" t="s">
        <v>1094</v>
      </c>
    </row>
    <row r="12" spans="1:7" s="111" customFormat="1">
      <c r="A12" s="111" t="s">
        <v>2737</v>
      </c>
      <c r="D12" s="112" t="s">
        <v>1120</v>
      </c>
      <c r="E12" s="120" t="s">
        <v>2784</v>
      </c>
    </row>
    <row r="13" spans="1:7" s="111" customFormat="1">
      <c r="A13" s="111" t="s">
        <v>2738</v>
      </c>
    </row>
    <row r="14" spans="1:7" s="111" customFormat="1"/>
    <row r="15" spans="1:7" s="111" customFormat="1" ht="14.25">
      <c r="A15" s="113"/>
      <c r="B15" s="170"/>
      <c r="C15" s="113"/>
      <c r="D15" s="113"/>
      <c r="E15" s="113"/>
      <c r="F15" s="113"/>
      <c r="G15" s="111" t="s">
        <v>1034</v>
      </c>
    </row>
    <row r="16" spans="1:7" s="15" customFormat="1" ht="20.100000000000001" customHeight="1">
      <c r="A16" s="18" t="s">
        <v>1113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 s="111" customFormat="1" ht="14.25">
      <c r="A17" s="114"/>
      <c r="B17" s="170"/>
      <c r="C17" s="113"/>
      <c r="D17" s="113"/>
      <c r="E17" s="113"/>
      <c r="F17" s="113"/>
    </row>
    <row r="18" spans="1:6" s="111" customFormat="1">
      <c r="A18" s="161"/>
      <c r="B18" s="116"/>
      <c r="C18" s="2" t="s">
        <v>2740</v>
      </c>
    </row>
    <row r="19" spans="1:6">
      <c r="A19" s="111"/>
      <c r="B19" s="111"/>
    </row>
    <row r="20" spans="1:6">
      <c r="A20" s="161"/>
      <c r="B20" s="116"/>
      <c r="C20" s="111" t="s">
        <v>2741</v>
      </c>
      <c r="E20" s="111"/>
      <c r="F20" s="111">
        <v>4000</v>
      </c>
    </row>
    <row r="21" spans="1:6" s="111" customFormat="1">
      <c r="A21" s="161"/>
      <c r="B21" s="121"/>
      <c r="C21" s="167" t="s">
        <v>2742</v>
      </c>
    </row>
    <row r="22" spans="1:6" s="111" customFormat="1">
      <c r="A22" s="161"/>
      <c r="B22" s="116"/>
    </row>
    <row r="23" spans="1:6" s="111" customFormat="1">
      <c r="A23" s="115"/>
      <c r="C23" s="111" t="s">
        <v>2786</v>
      </c>
    </row>
    <row r="24" spans="1:6" s="111" customFormat="1">
      <c r="A24" s="161"/>
      <c r="B24" s="121"/>
    </row>
    <row r="25" spans="1:6" s="111" customFormat="1">
      <c r="A25" s="115"/>
    </row>
    <row r="26" spans="1:6" s="111" customFormat="1">
      <c r="A26" s="161"/>
      <c r="B26" s="116"/>
      <c r="C26" s="2"/>
    </row>
    <row r="27" spans="1:6" s="111" customFormat="1">
      <c r="A27" s="161"/>
      <c r="B27" s="116"/>
    </row>
    <row r="28" spans="1:6" s="111" customFormat="1">
      <c r="B28" s="121"/>
    </row>
    <row r="29" spans="1:6" s="111" customFormat="1">
      <c r="A29" s="115"/>
      <c r="B29" s="121"/>
    </row>
    <row r="30" spans="1:6" s="111" customFormat="1">
      <c r="A30" s="161"/>
      <c r="B30" s="116"/>
    </row>
    <row r="31" spans="1:6" s="111" customFormat="1">
      <c r="A31" s="115"/>
      <c r="B31" s="121"/>
    </row>
    <row r="32" spans="1:6" s="111" customFormat="1">
      <c r="A32" s="161"/>
      <c r="B32" s="116"/>
    </row>
    <row r="33" spans="1:6" s="111" customFormat="1" ht="13.5" thickBot="1">
      <c r="F33" s="117">
        <f>SUM(F18:F32)</f>
        <v>4000</v>
      </c>
    </row>
    <row r="34" spans="1:6" s="111" customFormat="1" ht="13.5" thickTop="1"/>
    <row r="35" spans="1:6" s="111" customFormat="1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Four Thousand and NO/100 -----------</v>
      </c>
      <c r="C35" s="119"/>
      <c r="D35" s="119"/>
      <c r="E35" s="119"/>
      <c r="F35" s="119"/>
    </row>
    <row r="36" spans="1:6" s="111" customFormat="1">
      <c r="A36" s="120" t="s">
        <v>11</v>
      </c>
    </row>
    <row r="37" spans="1:6" s="111" customFormat="1">
      <c r="A37" s="111" t="s">
        <v>10</v>
      </c>
    </row>
    <row r="38" spans="1:6" s="111" customFormat="1"/>
    <row r="39" spans="1:6" s="111" customFormat="1" ht="25.5">
      <c r="A39" s="126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22"/>
      <c r="B42" s="122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11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275" t="s">
        <v>2948</v>
      </c>
      <c r="B50" s="13"/>
      <c r="C50" s="13"/>
      <c r="D50" s="13"/>
      <c r="E50" s="13"/>
      <c r="F50" s="13"/>
    </row>
    <row r="51" spans="1:6">
      <c r="A51" s="13"/>
      <c r="B51" s="13"/>
      <c r="C51" s="13"/>
      <c r="D51" s="2" t="s">
        <v>1</v>
      </c>
      <c r="E51" s="13"/>
      <c r="F51" s="13"/>
    </row>
    <row r="52" spans="1:6">
      <c r="A52" s="13"/>
      <c r="B52" s="13"/>
      <c r="C52" s="13"/>
      <c r="D52" s="2" t="s">
        <v>0</v>
      </c>
      <c r="E52" s="13"/>
      <c r="F52" s="13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4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1-000000000000}">
  <sheetPr codeName="Sheet295"/>
  <dimension ref="A1:F53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2.28515625" style="131" customWidth="1"/>
    <col min="5" max="5" width="9" style="131" customWidth="1"/>
    <col min="6" max="6" width="13.28515625" style="131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A9" s="131" t="s">
        <v>2543</v>
      </c>
      <c r="D9" s="132" t="s">
        <v>1110</v>
      </c>
      <c r="E9" s="131" t="s">
        <v>2541</v>
      </c>
    </row>
    <row r="10" spans="1:6">
      <c r="A10" s="131" t="s">
        <v>2544</v>
      </c>
      <c r="D10" s="132" t="s">
        <v>1685</v>
      </c>
      <c r="E10" s="132" t="s">
        <v>2539</v>
      </c>
    </row>
    <row r="11" spans="1:6">
      <c r="A11" s="131" t="s">
        <v>2545</v>
      </c>
      <c r="D11" s="132" t="s">
        <v>1163</v>
      </c>
      <c r="E11" s="132" t="s">
        <v>1094</v>
      </c>
    </row>
    <row r="12" spans="1:6">
      <c r="D12" s="132" t="s">
        <v>1188</v>
      </c>
      <c r="E12" s="132" t="s">
        <v>2542</v>
      </c>
    </row>
    <row r="16" spans="1:6" s="95" customFormat="1" ht="20.100000000000001" customHeight="1">
      <c r="A16" s="91" t="s">
        <v>1097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6">
      <c r="A17" s="177"/>
    </row>
    <row r="18" spans="1:6">
      <c r="C18" s="110" t="s">
        <v>2546</v>
      </c>
    </row>
    <row r="19" spans="1:6">
      <c r="A19" s="177"/>
      <c r="C19" s="110"/>
    </row>
    <row r="20" spans="1:6">
      <c r="A20" s="158" t="s">
        <v>2540</v>
      </c>
      <c r="B20" s="158" t="s">
        <v>2547</v>
      </c>
      <c r="C20" s="131" t="s">
        <v>2548</v>
      </c>
      <c r="F20" s="131">
        <v>200</v>
      </c>
    </row>
    <row r="21" spans="1:6">
      <c r="A21" s="158"/>
      <c r="B21" s="140"/>
      <c r="C21" s="131" t="s">
        <v>2545</v>
      </c>
    </row>
    <row r="22" spans="1:6">
      <c r="A22" s="158"/>
      <c r="B22" s="141"/>
    </row>
    <row r="23" spans="1:6">
      <c r="A23" s="158"/>
      <c r="B23" s="158"/>
    </row>
    <row r="25" spans="1:6">
      <c r="A25" s="158"/>
      <c r="B25" s="254"/>
    </row>
    <row r="27" spans="1:6">
      <c r="A27" s="158"/>
      <c r="B27" s="254"/>
    </row>
    <row r="29" spans="1:6">
      <c r="A29" s="158"/>
      <c r="B29" s="141"/>
    </row>
    <row r="30" spans="1:6">
      <c r="A30" s="158"/>
      <c r="B30" s="141"/>
    </row>
    <row r="31" spans="1:6">
      <c r="A31" s="141"/>
    </row>
    <row r="32" spans="1:6">
      <c r="A32" s="254"/>
      <c r="B32" s="140"/>
    </row>
    <row r="33" spans="1:6" ht="13.5" thickBot="1">
      <c r="A33" s="103"/>
      <c r="B33" s="86"/>
      <c r="C33" s="86"/>
      <c r="D33" s="86"/>
      <c r="E33" s="86"/>
      <c r="F33" s="137">
        <f>SUM(F20:F32)</f>
        <v>200</v>
      </c>
    </row>
    <row r="34" spans="1:6" ht="14.25" thickTop="1" thickBot="1">
      <c r="A34" s="177"/>
      <c r="F34" s="137">
        <f>SUM(F19:F33)</f>
        <v>400</v>
      </c>
    </row>
    <row r="35" spans="1:6" ht="13.5" thickTop="1">
      <c r="A35" s="177"/>
    </row>
    <row r="36" spans="1:6" ht="20.100000000000001" customHeight="1">
      <c r="A36" s="138" t="s">
        <v>1686</v>
      </c>
      <c r="B36" s="204" t="s">
        <v>1851</v>
      </c>
      <c r="C36" s="139"/>
      <c r="D36" s="139"/>
      <c r="E36" s="139"/>
      <c r="F36" s="139"/>
    </row>
    <row r="37" spans="1:6">
      <c r="A37" s="140"/>
    </row>
    <row r="38" spans="1:6">
      <c r="A38" s="131" t="s">
        <v>10</v>
      </c>
    </row>
    <row r="39" spans="1:6" ht="25.5">
      <c r="A39" s="147"/>
      <c r="D39" s="265" t="s">
        <v>2894</v>
      </c>
      <c r="E39" s="266"/>
      <c r="F39" s="267"/>
    </row>
    <row r="41" spans="1:6">
      <c r="A41" s="131" t="s">
        <v>51</v>
      </c>
      <c r="C41" s="141"/>
    </row>
    <row r="42" spans="1:6">
      <c r="A42" s="142"/>
      <c r="B42" s="142"/>
    </row>
    <row r="44" spans="1:6">
      <c r="A44" s="131" t="s">
        <v>8</v>
      </c>
      <c r="D44" s="143" t="s">
        <v>7</v>
      </c>
      <c r="F44" s="144"/>
    </row>
    <row r="48" spans="1:6">
      <c r="A48" s="142" t="s">
        <v>51</v>
      </c>
      <c r="B48" s="142"/>
      <c r="D48" s="142"/>
      <c r="E48" s="142"/>
      <c r="F48" s="142"/>
    </row>
    <row r="49" spans="1:6" s="109" customFormat="1" ht="17.100000000000001" customHeight="1">
      <c r="A49" s="147" t="s">
        <v>4</v>
      </c>
      <c r="B49" s="146"/>
      <c r="C49" s="147"/>
      <c r="D49" s="147" t="s">
        <v>3</v>
      </c>
      <c r="E49" s="147"/>
      <c r="F49" s="147"/>
    </row>
    <row r="50" spans="1:6">
      <c r="A50" s="145" t="s">
        <v>2948</v>
      </c>
      <c r="D50" s="131" t="s">
        <v>2</v>
      </c>
    </row>
    <row r="52" spans="1:6">
      <c r="D52" s="110" t="s">
        <v>1</v>
      </c>
    </row>
    <row r="53" spans="1:6">
      <c r="D53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4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1-000000000000}">
  <sheetPr codeName="Sheet244">
    <pageSetUpPr fitToPage="1"/>
  </sheetPr>
  <dimension ref="A1:F50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2165</v>
      </c>
    </row>
    <row r="10" spans="1:6">
      <c r="A10" s="111" t="s">
        <v>2167</v>
      </c>
      <c r="D10" s="112" t="s">
        <v>1162</v>
      </c>
      <c r="E10" s="112" t="s">
        <v>2164</v>
      </c>
    </row>
    <row r="11" spans="1:6">
      <c r="A11" s="111" t="s">
        <v>2168</v>
      </c>
      <c r="D11" s="112" t="s">
        <v>1163</v>
      </c>
      <c r="E11" s="112" t="s">
        <v>1094</v>
      </c>
    </row>
    <row r="12" spans="1:6">
      <c r="A12" s="111" t="s">
        <v>2169</v>
      </c>
      <c r="D12" s="112" t="s">
        <v>1135</v>
      </c>
      <c r="E12" s="112" t="s">
        <v>2166</v>
      </c>
    </row>
    <row r="13" spans="1:6">
      <c r="A13" s="111" t="s">
        <v>2170</v>
      </c>
    </row>
    <row r="14" spans="1:6">
      <c r="A14" s="111" t="s">
        <v>2171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2172</v>
      </c>
    </row>
    <row r="19" spans="1:6">
      <c r="A19" s="161"/>
      <c r="B19" s="116"/>
    </row>
    <row r="20" spans="1:6">
      <c r="A20" s="116" t="s">
        <v>2173</v>
      </c>
      <c r="B20" s="116" t="s">
        <v>2174</v>
      </c>
      <c r="C20" s="111" t="s">
        <v>2175</v>
      </c>
      <c r="F20" s="111">
        <f>50*30</f>
        <v>1500</v>
      </c>
    </row>
    <row r="22" spans="1:6">
      <c r="A22" s="161"/>
      <c r="B22" s="116"/>
    </row>
    <row r="25" spans="1:6">
      <c r="A25" s="161"/>
      <c r="B25" s="116"/>
    </row>
    <row r="27" spans="1:6">
      <c r="F27" s="2"/>
    </row>
    <row r="28" spans="1:6">
      <c r="B28" s="120"/>
    </row>
    <row r="29" spans="1:6">
      <c r="B29" s="120"/>
    </row>
    <row r="31" spans="1:6" ht="13.5" thickBot="1">
      <c r="F31" s="127">
        <f>SUM(F19:F30)</f>
        <v>1500</v>
      </c>
    </row>
    <row r="32" spans="1:6" ht="13.5" thickTop="1"/>
    <row r="33" spans="1:6" ht="20.100000000000001" customHeight="1" thickBot="1">
      <c r="A33" s="118" t="s">
        <v>1133</v>
      </c>
      <c r="B33" s="202" t="s">
        <v>2042</v>
      </c>
      <c r="C33" s="119"/>
      <c r="D33" s="119"/>
      <c r="E33" s="119"/>
      <c r="F33" s="117">
        <f>SUM(F20:F32)</f>
        <v>3000</v>
      </c>
    </row>
    <row r="34" spans="1:6" ht="13.5" thickTop="1">
      <c r="A34" s="120"/>
    </row>
    <row r="35" spans="1:6">
      <c r="A35" s="123" t="s">
        <v>10</v>
      </c>
    </row>
    <row r="36" spans="1:6">
      <c r="A36" s="123"/>
    </row>
    <row r="37" spans="1:6">
      <c r="A37" s="123"/>
    </row>
    <row r="38" spans="1:6">
      <c r="A38" s="123"/>
      <c r="C38" s="121"/>
    </row>
    <row r="39" spans="1:6" ht="25.5">
      <c r="A39" s="270"/>
      <c r="B39" s="122"/>
      <c r="D39" s="265" t="s">
        <v>2894</v>
      </c>
      <c r="E39" s="266"/>
      <c r="F39" s="267"/>
    </row>
    <row r="41" spans="1:6">
      <c r="A41" s="123" t="s">
        <v>8</v>
      </c>
      <c r="D41" s="123" t="s">
        <v>7</v>
      </c>
      <c r="F41" s="124"/>
    </row>
    <row r="42" spans="1:6">
      <c r="A42" s="123"/>
    </row>
    <row r="43" spans="1:6">
      <c r="A43" s="123"/>
    </row>
    <row r="44" spans="1:6">
      <c r="A44" s="123"/>
    </row>
    <row r="45" spans="1:6">
      <c r="A45" s="150"/>
      <c r="B45" s="122"/>
      <c r="D45" s="122"/>
      <c r="E45" s="122"/>
      <c r="F45" s="122"/>
    </row>
    <row r="46" spans="1:6" s="126" customFormat="1" ht="17.100000000000001" customHeight="1">
      <c r="A46" s="151" t="s">
        <v>4</v>
      </c>
      <c r="B46" s="125"/>
      <c r="D46" s="126" t="s">
        <v>3</v>
      </c>
    </row>
    <row r="47" spans="1:6">
      <c r="A47" s="123"/>
      <c r="D47" s="111" t="s">
        <v>2</v>
      </c>
    </row>
    <row r="48" spans="1:6">
      <c r="A48" s="123"/>
    </row>
    <row r="49" spans="1:4">
      <c r="D49" s="2" t="s">
        <v>1</v>
      </c>
    </row>
    <row r="50" spans="1:4">
      <c r="A50" s="151" t="s">
        <v>2948</v>
      </c>
      <c r="D50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4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1-000000000000}">
  <sheetPr codeName="Sheet255">
    <pageSetUpPr fitToPage="1"/>
  </sheetPr>
  <dimension ref="A1:G55"/>
  <sheetViews>
    <sheetView topLeftCell="A34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32" t="s">
        <v>4981</v>
      </c>
      <c r="F9" s="111"/>
    </row>
    <row r="10" spans="1:6">
      <c r="A10" s="111" t="s">
        <v>2263</v>
      </c>
      <c r="B10" s="111"/>
      <c r="C10" s="111"/>
      <c r="D10" s="112" t="s">
        <v>1162</v>
      </c>
      <c r="E10" s="132" t="s">
        <v>4978</v>
      </c>
      <c r="F10" s="111"/>
    </row>
    <row r="11" spans="1:6">
      <c r="A11" s="111"/>
      <c r="B11" s="111"/>
      <c r="C11" s="111"/>
      <c r="D11" s="112" t="s">
        <v>1163</v>
      </c>
      <c r="E11" s="132" t="s">
        <v>1094</v>
      </c>
      <c r="F11" s="111"/>
    </row>
    <row r="12" spans="1:6">
      <c r="A12" s="111"/>
      <c r="B12" s="111"/>
      <c r="C12" s="111"/>
      <c r="D12" s="112" t="s">
        <v>1135</v>
      </c>
      <c r="E12" s="120" t="s">
        <v>4982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20"/>
      <c r="B18" s="111"/>
      <c r="C18" s="2"/>
      <c r="D18" s="111"/>
      <c r="E18" s="111"/>
      <c r="F18" s="111"/>
    </row>
    <row r="19" spans="1:7">
      <c r="A19" s="116" t="s">
        <v>4979</v>
      </c>
      <c r="B19" s="116" t="s">
        <v>1920</v>
      </c>
      <c r="C19" s="111" t="s">
        <v>4983</v>
      </c>
      <c r="D19" s="111"/>
      <c r="E19" s="111"/>
      <c r="F19" s="111">
        <v>380</v>
      </c>
      <c r="G19" s="111"/>
    </row>
    <row r="20" spans="1:7">
      <c r="A20" s="116"/>
      <c r="B20" s="116" t="s">
        <v>4984</v>
      </c>
      <c r="C20" s="111" t="s">
        <v>4985</v>
      </c>
      <c r="D20" s="111"/>
      <c r="E20" s="111"/>
      <c r="F20" s="111">
        <v>90</v>
      </c>
      <c r="G20" s="111"/>
    </row>
    <row r="21" spans="1:7">
      <c r="A21" s="112"/>
      <c r="B21" s="120"/>
      <c r="C21" s="111"/>
      <c r="D21" s="111"/>
      <c r="E21" s="111"/>
      <c r="F21" s="111"/>
      <c r="G21" s="111"/>
    </row>
    <row r="22" spans="1:7">
      <c r="A22" s="116"/>
      <c r="B22" s="120"/>
      <c r="C22" s="111"/>
      <c r="D22" s="111"/>
      <c r="E22" s="116"/>
      <c r="F22" s="111"/>
      <c r="G22" s="111"/>
    </row>
    <row r="23" spans="1:7">
      <c r="A23" s="116"/>
      <c r="B23" s="121"/>
      <c r="C23" s="111"/>
      <c r="D23" s="111"/>
      <c r="E23" s="111"/>
      <c r="F23" s="111"/>
      <c r="G23" s="111"/>
    </row>
    <row r="24" spans="1:7">
      <c r="A24" s="116"/>
      <c r="B24" s="120"/>
      <c r="C24" s="120"/>
      <c r="D24" s="111"/>
      <c r="E24" s="111"/>
      <c r="F24" s="111"/>
      <c r="G24" s="111"/>
    </row>
    <row r="25" spans="1:7">
      <c r="A25" s="111"/>
      <c r="B25" s="116"/>
      <c r="C25" s="2"/>
      <c r="D25" s="111"/>
      <c r="E25" s="111"/>
      <c r="F25" s="111"/>
      <c r="G25" s="111"/>
    </row>
    <row r="26" spans="1:7">
      <c r="A26" s="116"/>
      <c r="B26" s="120"/>
      <c r="C26" s="2"/>
      <c r="D26" s="111"/>
      <c r="E26" s="111"/>
      <c r="F26" s="111"/>
      <c r="G26" s="111"/>
    </row>
    <row r="27" spans="1:7">
      <c r="A27" s="112"/>
      <c r="B27" s="120"/>
      <c r="C27" s="111"/>
      <c r="D27" s="111"/>
      <c r="E27" s="111"/>
      <c r="F27" s="111"/>
      <c r="G27" s="111"/>
    </row>
    <row r="28" spans="1:7">
      <c r="A28" s="112"/>
      <c r="B28" s="120"/>
      <c r="C28" s="111"/>
      <c r="D28" s="111"/>
      <c r="E28" s="116"/>
      <c r="F28" s="111"/>
      <c r="G28" s="111"/>
    </row>
    <row r="29" spans="1:7">
      <c r="A29" s="116"/>
      <c r="B29" s="111"/>
      <c r="C29" s="111"/>
      <c r="D29" s="111"/>
      <c r="E29" s="111"/>
      <c r="F29" s="111"/>
      <c r="G29" s="111"/>
    </row>
    <row r="30" spans="1:7">
      <c r="A30" s="111"/>
      <c r="B30" s="120"/>
      <c r="C30" s="111"/>
      <c r="D30" s="111"/>
      <c r="E30" s="111"/>
      <c r="F30" s="111"/>
    </row>
    <row r="31" spans="1:7">
      <c r="A31" s="116"/>
      <c r="B31" s="120"/>
      <c r="C31" s="111"/>
      <c r="D31" s="111"/>
      <c r="E31" s="111"/>
      <c r="F31" s="111"/>
    </row>
    <row r="32" spans="1:7">
      <c r="A32" s="116"/>
      <c r="B32" s="120"/>
      <c r="C32" s="111"/>
      <c r="D32" s="111"/>
      <c r="E32" s="111"/>
    </row>
    <row r="33" spans="1:6">
      <c r="A33" s="111"/>
      <c r="B33" s="111"/>
      <c r="C33" s="111"/>
      <c r="D33" s="111"/>
      <c r="E33" s="111"/>
      <c r="F33" s="122"/>
    </row>
    <row r="34" spans="1:6" ht="13.5" thickBot="1">
      <c r="A34" s="111"/>
      <c r="B34" s="111"/>
      <c r="C34" s="111"/>
      <c r="D34" s="111"/>
      <c r="E34" s="111"/>
      <c r="F34" s="302">
        <f>SUM(F19:F33)</f>
        <v>470</v>
      </c>
    </row>
    <row r="35" spans="1:6" ht="13.5" thickTop="1">
      <c r="A35" s="111"/>
      <c r="B35" s="111"/>
      <c r="C35" s="111"/>
      <c r="D35" s="111"/>
      <c r="E35" s="111"/>
      <c r="F35" s="111"/>
    </row>
    <row r="36" spans="1:6" ht="20.100000000000001" customHeight="1">
      <c r="A36" s="118" t="s">
        <v>1133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Four Hundred Seventy and NO/100 -----------</v>
      </c>
      <c r="C36" s="119"/>
      <c r="D36" s="119"/>
      <c r="E36" s="119"/>
      <c r="F36" s="119"/>
    </row>
    <row r="37" spans="1:6">
      <c r="A37" s="120" t="s">
        <v>11</v>
      </c>
      <c r="B37" s="111"/>
      <c r="C37" s="111"/>
      <c r="D37" s="111"/>
      <c r="E37" s="111"/>
      <c r="F37" s="111"/>
    </row>
    <row r="38" spans="1:6">
      <c r="A38" s="111" t="s">
        <v>10</v>
      </c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21"/>
      <c r="D41" s="111"/>
      <c r="E41" s="111"/>
      <c r="F41" s="111"/>
    </row>
    <row r="42" spans="1:6">
      <c r="A42" s="122"/>
      <c r="B42" s="122"/>
      <c r="C42" s="111"/>
      <c r="D42" s="111"/>
      <c r="E42" s="111"/>
      <c r="F42" s="111"/>
    </row>
    <row r="43" spans="1:6">
      <c r="B43" s="111"/>
      <c r="C43" s="111"/>
      <c r="D43" s="111"/>
      <c r="E43" s="111"/>
      <c r="F43" s="111"/>
    </row>
    <row r="44" spans="1:6">
      <c r="A44" s="123" t="s">
        <v>8</v>
      </c>
      <c r="C44" s="111"/>
      <c r="D44" s="123" t="s">
        <v>7</v>
      </c>
      <c r="E44" s="111"/>
      <c r="F44" s="124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22"/>
      <c r="B48" s="122"/>
      <c r="C48" s="111"/>
      <c r="D48" s="122"/>
      <c r="E48" s="122"/>
      <c r="F48" s="122"/>
    </row>
    <row r="49" spans="1:6" s="3" customFormat="1" ht="17.100000000000001" customHeight="1">
      <c r="A49" s="151" t="s">
        <v>2948</v>
      </c>
      <c r="B49" s="125"/>
      <c r="C49" s="126"/>
      <c r="D49" s="126" t="s">
        <v>3</v>
      </c>
      <c r="E49" s="126"/>
      <c r="F49" s="126"/>
    </row>
    <row r="50" spans="1:6">
      <c r="A50" s="151"/>
      <c r="B50" s="111"/>
      <c r="C50" s="111"/>
      <c r="D50" s="111" t="s">
        <v>2</v>
      </c>
      <c r="E50" s="111"/>
      <c r="F50" s="111"/>
    </row>
    <row r="51" spans="1:6">
      <c r="A51" s="111"/>
      <c r="B51" s="111"/>
      <c r="C51" s="111"/>
      <c r="D51" s="111"/>
      <c r="E51" s="111"/>
      <c r="F51" s="111"/>
    </row>
    <row r="52" spans="1:6">
      <c r="A52" s="111"/>
      <c r="B52" s="111"/>
      <c r="C52" s="111"/>
      <c r="D52" s="2" t="s">
        <v>1</v>
      </c>
      <c r="E52" s="111"/>
      <c r="F52" s="111"/>
    </row>
    <row r="53" spans="1:6">
      <c r="A53" s="111"/>
      <c r="B53" s="111"/>
      <c r="C53" s="111"/>
      <c r="D53" s="2" t="s">
        <v>0</v>
      </c>
      <c r="E53" s="111"/>
      <c r="F53" s="111"/>
    </row>
    <row r="54" spans="1:6">
      <c r="A54" s="111"/>
      <c r="B54" s="111"/>
      <c r="C54" s="111"/>
      <c r="D54" s="111"/>
      <c r="E54" s="111"/>
      <c r="F54" s="111"/>
    </row>
    <row r="55" spans="1:6">
      <c r="A55" s="111"/>
      <c r="B55" s="111"/>
      <c r="C55" s="111"/>
      <c r="D55" s="111"/>
      <c r="E55" s="111"/>
      <c r="F55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1-000000000000}">
  <sheetPr codeName="Sheet252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4.28515625" style="111" customWidth="1"/>
    <col min="2" max="2" width="14" style="111" customWidth="1"/>
    <col min="3" max="3" width="23" style="111" customWidth="1"/>
    <col min="4" max="4" width="12" style="111" customWidth="1"/>
    <col min="5" max="5" width="9.710937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1239</v>
      </c>
      <c r="E9" s="111" t="s">
        <v>2228</v>
      </c>
    </row>
    <row r="10" spans="1:6">
      <c r="A10" s="111" t="s">
        <v>2230</v>
      </c>
      <c r="D10" s="112" t="s">
        <v>1124</v>
      </c>
      <c r="E10" s="123" t="s">
        <v>2214</v>
      </c>
    </row>
    <row r="11" spans="1:6">
      <c r="A11" s="111" t="s">
        <v>1882</v>
      </c>
      <c r="D11" s="112" t="s">
        <v>1125</v>
      </c>
      <c r="E11" s="112" t="s">
        <v>1094</v>
      </c>
    </row>
    <row r="12" spans="1:6">
      <c r="A12" s="111" t="s">
        <v>2231</v>
      </c>
      <c r="D12" s="112" t="s">
        <v>1096</v>
      </c>
      <c r="E12" s="112" t="s">
        <v>2229</v>
      </c>
    </row>
    <row r="13" spans="1:6">
      <c r="A13" s="111" t="s">
        <v>1287</v>
      </c>
    </row>
    <row r="14" spans="1:6">
      <c r="A14" s="111" t="s">
        <v>2232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A18" s="116"/>
      <c r="B18" s="116"/>
      <c r="C18" s="2" t="s">
        <v>2233</v>
      </c>
    </row>
    <row r="19" spans="1:6">
      <c r="A19" s="116"/>
      <c r="B19" s="116"/>
    </row>
    <row r="20" spans="1:6">
      <c r="A20" s="116" t="s">
        <v>2234</v>
      </c>
      <c r="B20" s="111" t="s">
        <v>2235</v>
      </c>
      <c r="C20" s="111" t="s">
        <v>2236</v>
      </c>
      <c r="F20" s="111">
        <v>700</v>
      </c>
    </row>
    <row r="22" spans="1:6">
      <c r="A22" s="116"/>
      <c r="B22" s="116"/>
    </row>
    <row r="30" spans="1:6">
      <c r="A30" s="153"/>
    </row>
    <row r="31" spans="1:6">
      <c r="A31" s="153"/>
    </row>
    <row r="32" spans="1:6">
      <c r="A32" s="153"/>
    </row>
    <row r="33" spans="1:6" ht="13.5" thickBot="1">
      <c r="A33" s="153"/>
      <c r="F33" s="127">
        <f>SUM(F20:F32)</f>
        <v>700</v>
      </c>
    </row>
    <row r="34" spans="1:6" ht="13.5" thickTop="1">
      <c r="A34" s="153"/>
    </row>
    <row r="35" spans="1:6" ht="20.100000000000001" customHeight="1">
      <c r="A35" s="118" t="s">
        <v>204</v>
      </c>
      <c r="B35" s="202" t="s">
        <v>1747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1-000000000000}">
  <sheetPr codeName="Sheet245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4.28515625" style="111" customWidth="1"/>
    <col min="2" max="2" width="14" style="111" customWidth="1"/>
    <col min="3" max="3" width="23" style="111" customWidth="1"/>
    <col min="4" max="4" width="12" style="111" customWidth="1"/>
    <col min="5" max="5" width="9.710937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1239</v>
      </c>
      <c r="E9" s="111" t="s">
        <v>2216</v>
      </c>
    </row>
    <row r="10" spans="1:6">
      <c r="A10" s="111" t="s">
        <v>2218</v>
      </c>
      <c r="D10" s="112" t="s">
        <v>1124</v>
      </c>
      <c r="E10" s="123" t="s">
        <v>2214</v>
      </c>
    </row>
    <row r="11" spans="1:6">
      <c r="A11" s="111" t="s">
        <v>2219</v>
      </c>
      <c r="D11" s="112" t="s">
        <v>1125</v>
      </c>
      <c r="E11" s="112" t="s">
        <v>1094</v>
      </c>
    </row>
    <row r="12" spans="1:6">
      <c r="A12" s="111" t="s">
        <v>2220</v>
      </c>
      <c r="D12" s="112" t="s">
        <v>1096</v>
      </c>
      <c r="E12" s="112" t="s">
        <v>2217</v>
      </c>
    </row>
    <row r="13" spans="1:6">
      <c r="A13" s="111" t="s">
        <v>2221</v>
      </c>
    </row>
    <row r="14" spans="1:6">
      <c r="A14" s="111" t="s">
        <v>2222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A18" s="116"/>
      <c r="B18" s="116"/>
      <c r="C18" s="2" t="s">
        <v>2224</v>
      </c>
    </row>
    <row r="19" spans="1:6">
      <c r="A19" s="116"/>
      <c r="B19" s="116"/>
    </row>
    <row r="20" spans="1:6">
      <c r="A20" s="116" t="s">
        <v>2215</v>
      </c>
      <c r="B20" s="111" t="s">
        <v>2223</v>
      </c>
      <c r="C20" s="111" t="s">
        <v>2225</v>
      </c>
      <c r="F20" s="111">
        <f>4700*2</f>
        <v>9400</v>
      </c>
    </row>
    <row r="21" spans="1:6">
      <c r="C21" s="111" t="s">
        <v>2226</v>
      </c>
    </row>
    <row r="22" spans="1:6">
      <c r="A22" s="116"/>
      <c r="B22" s="116"/>
    </row>
    <row r="30" spans="1:6">
      <c r="A30" s="153"/>
    </row>
    <row r="31" spans="1:6">
      <c r="A31" s="153"/>
    </row>
    <row r="32" spans="1:6">
      <c r="A32" s="153"/>
    </row>
    <row r="33" spans="1:6" ht="13.5" thickBot="1">
      <c r="A33" s="153"/>
      <c r="F33" s="127">
        <f>SUM(F20:F32)</f>
        <v>9400</v>
      </c>
    </row>
    <row r="34" spans="1:6" ht="13.5" thickTop="1">
      <c r="A34" s="153"/>
    </row>
    <row r="35" spans="1:6" ht="20.100000000000001" customHeight="1">
      <c r="A35" s="118" t="s">
        <v>204</v>
      </c>
      <c r="B35" s="202" t="s">
        <v>2227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422">
    <pageSetUpPr fitToPage="1"/>
  </sheetPr>
  <dimension ref="A1:H56"/>
  <sheetViews>
    <sheetView zoomScaleNormal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" style="1" customWidth="1"/>
    <col min="4" max="4" width="28.42578125" style="1" customWidth="1"/>
    <col min="5" max="5" width="0.71093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11" t="s">
        <v>6171</v>
      </c>
      <c r="H9" s="111"/>
    </row>
    <row r="10" spans="1:8">
      <c r="A10" s="111" t="s">
        <v>4190</v>
      </c>
      <c r="B10" s="111"/>
      <c r="C10" s="111"/>
      <c r="D10" s="111"/>
      <c r="E10" s="111"/>
      <c r="F10" s="112" t="s">
        <v>1162</v>
      </c>
      <c r="G10" s="111" t="s">
        <v>6082</v>
      </c>
      <c r="H10" s="111"/>
    </row>
    <row r="11" spans="1:8">
      <c r="A11" s="111" t="s">
        <v>6170</v>
      </c>
      <c r="B11" s="111"/>
      <c r="C11" s="111"/>
      <c r="D11" s="111"/>
      <c r="E11" s="111"/>
      <c r="F11" s="112" t="s">
        <v>1163</v>
      </c>
      <c r="G11" s="111" t="s">
        <v>1094</v>
      </c>
      <c r="H11" s="111"/>
    </row>
    <row r="12" spans="1:8">
      <c r="A12" s="111"/>
      <c r="B12" s="111"/>
      <c r="C12" s="111"/>
      <c r="D12" s="111"/>
      <c r="E12" s="111"/>
      <c r="F12" s="112" t="s">
        <v>1135</v>
      </c>
      <c r="G12" s="120" t="s">
        <v>1270</v>
      </c>
      <c r="H12" s="111"/>
    </row>
    <row r="13" spans="1:8">
      <c r="A13" s="111"/>
      <c r="B13" s="111"/>
      <c r="C13" s="111"/>
      <c r="D13" s="111"/>
      <c r="E13" s="111"/>
      <c r="F13" s="111"/>
      <c r="G13" s="13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2" t="s">
        <v>6172</v>
      </c>
      <c r="E18" s="2"/>
      <c r="F18" s="111"/>
      <c r="G18" s="111"/>
      <c r="H18" s="111"/>
    </row>
    <row r="19" spans="1:8">
      <c r="A19" s="116"/>
      <c r="B19" s="116"/>
      <c r="C19" s="116"/>
      <c r="D19" s="2" t="s">
        <v>6173</v>
      </c>
      <c r="E19" s="111"/>
      <c r="F19" s="111"/>
      <c r="G19" s="111"/>
      <c r="H19" s="111"/>
    </row>
    <row r="20" spans="1:8">
      <c r="A20" s="116"/>
      <c r="B20" s="116"/>
      <c r="C20" s="116"/>
      <c r="D20" s="111"/>
      <c r="E20" s="111"/>
      <c r="F20" s="111"/>
      <c r="G20" s="111"/>
      <c r="H20" s="111"/>
    </row>
    <row r="21" spans="1:8">
      <c r="A21" s="116" t="s">
        <v>6080</v>
      </c>
      <c r="B21" s="116" t="s">
        <v>6174</v>
      </c>
      <c r="C21" s="111"/>
      <c r="D21" s="111" t="s">
        <v>6175</v>
      </c>
      <c r="E21" s="111"/>
      <c r="F21" s="111"/>
      <c r="G21" s="111"/>
      <c r="H21" s="111">
        <f>50000*0.630514</f>
        <v>31525.7</v>
      </c>
    </row>
    <row r="22" spans="1:8">
      <c r="A22" s="116"/>
      <c r="B22" s="116"/>
      <c r="C22" s="116"/>
      <c r="D22" s="111" t="s">
        <v>6176</v>
      </c>
      <c r="H22" s="111"/>
    </row>
    <row r="23" spans="1:8">
      <c r="B23" s="116"/>
      <c r="C23" s="116"/>
      <c r="D23" s="111"/>
      <c r="E23" s="111"/>
      <c r="F23" s="111"/>
      <c r="G23" s="111"/>
      <c r="H23" s="111"/>
    </row>
    <row r="24" spans="1:8">
      <c r="B24" s="116"/>
      <c r="C24" s="116"/>
      <c r="D24" s="111" t="s">
        <v>1697</v>
      </c>
      <c r="E24" s="111"/>
      <c r="F24" s="475"/>
      <c r="G24" s="111"/>
      <c r="H24" s="111">
        <v>30</v>
      </c>
    </row>
    <row r="25" spans="1:8">
      <c r="B25" s="116"/>
      <c r="C25" s="116"/>
      <c r="D25" s="111"/>
      <c r="E25" s="111"/>
      <c r="F25" s="475"/>
      <c r="G25" s="111"/>
      <c r="H25" s="111"/>
    </row>
    <row r="26" spans="1:8">
      <c r="A26" s="116"/>
      <c r="B26" s="116"/>
      <c r="C26" s="116"/>
      <c r="D26" s="111"/>
      <c r="E26" s="111"/>
      <c r="F26" s="111"/>
      <c r="G26" s="111"/>
      <c r="H26" s="111"/>
    </row>
    <row r="27" spans="1:8">
      <c r="A27" s="116"/>
      <c r="B27" s="116"/>
      <c r="C27" s="116"/>
      <c r="D27" s="111"/>
      <c r="E27" s="111"/>
      <c r="F27" s="111"/>
      <c r="G27" s="111"/>
      <c r="H27" s="111"/>
    </row>
    <row r="28" spans="1:8">
      <c r="A28" s="111"/>
      <c r="B28" s="111"/>
      <c r="C28" s="111"/>
      <c r="D28" s="111"/>
      <c r="E28" s="111"/>
      <c r="F28" s="111"/>
      <c r="G28" s="111"/>
      <c r="H28" s="111"/>
    </row>
    <row r="29" spans="1:8">
      <c r="A29" s="116"/>
      <c r="B29" s="116"/>
      <c r="C29" s="116"/>
      <c r="D29" s="111"/>
      <c r="E29" s="111"/>
      <c r="F29" s="111"/>
      <c r="G29" s="111"/>
      <c r="H29" s="111"/>
    </row>
    <row r="30" spans="1:8">
      <c r="B30" s="116"/>
      <c r="C30" s="116"/>
      <c r="D30" s="111"/>
      <c r="E30" s="111"/>
      <c r="F30" s="111"/>
      <c r="G30" s="111"/>
      <c r="H30" s="111"/>
    </row>
    <row r="31" spans="1:8">
      <c r="A31" s="116"/>
      <c r="B31" s="116"/>
      <c r="C31" s="116"/>
      <c r="D31" s="111"/>
      <c r="E31" s="111"/>
      <c r="F31" s="111"/>
      <c r="G31" s="111"/>
      <c r="H31" s="111"/>
    </row>
    <row r="32" spans="1:8">
      <c r="C32" s="111"/>
      <c r="D32" s="111"/>
      <c r="E32" s="111"/>
      <c r="F32" s="111"/>
      <c r="G32" s="111"/>
      <c r="H32" s="111"/>
    </row>
    <row r="34" spans="1:8">
      <c r="A34" s="111"/>
      <c r="B34" s="111"/>
      <c r="C34" s="111"/>
      <c r="D34" s="111"/>
      <c r="E34" s="111"/>
      <c r="F34" s="111"/>
      <c r="G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31555.7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Thirty-One Thousand Five Hundred Fifty-Five and 70/100 -----------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4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1-000000000000}">
  <sheetPr codeName="Sheet246">
    <pageSetUpPr fitToPage="1"/>
  </sheetPr>
  <dimension ref="A1:F52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17.42578125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4433</v>
      </c>
    </row>
    <row r="10" spans="1:6">
      <c r="A10" s="111" t="s">
        <v>2176</v>
      </c>
      <c r="D10" s="112" t="s">
        <v>1162</v>
      </c>
      <c r="E10" s="123" t="s">
        <v>4431</v>
      </c>
    </row>
    <row r="11" spans="1:6">
      <c r="A11" s="111" t="s">
        <v>2177</v>
      </c>
      <c r="D11" s="112" t="s">
        <v>1163</v>
      </c>
      <c r="E11" s="112" t="s">
        <v>1094</v>
      </c>
    </row>
    <row r="12" spans="1:6">
      <c r="A12" s="111" t="s">
        <v>2178</v>
      </c>
      <c r="D12" s="112" t="s">
        <v>1135</v>
      </c>
      <c r="E12" s="120" t="s">
        <v>4434</v>
      </c>
    </row>
    <row r="13" spans="1:6">
      <c r="A13" s="111" t="s">
        <v>1326</v>
      </c>
    </row>
    <row r="14" spans="1:6">
      <c r="A14" s="111" t="s">
        <v>2179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4435</v>
      </c>
    </row>
    <row r="20" spans="1:6">
      <c r="A20" s="120" t="s">
        <v>11</v>
      </c>
      <c r="B20" s="116" t="s">
        <v>4436</v>
      </c>
      <c r="C20" s="111" t="s">
        <v>3797</v>
      </c>
      <c r="F20" s="111">
        <v>900</v>
      </c>
    </row>
    <row r="21" spans="1:6">
      <c r="A21" s="161"/>
      <c r="B21" s="116"/>
      <c r="C21" s="111" t="s">
        <v>4437</v>
      </c>
    </row>
    <row r="27" spans="1:6">
      <c r="A27" s="161"/>
      <c r="B27" s="116"/>
    </row>
    <row r="29" spans="1:6">
      <c r="F29" s="2"/>
    </row>
    <row r="30" spans="1:6">
      <c r="B30" s="120"/>
    </row>
    <row r="31" spans="1:6">
      <c r="B31" s="120"/>
    </row>
    <row r="33" spans="1:6" ht="13.5" thickBot="1">
      <c r="F33" s="127">
        <f>SUM(F20:F32)</f>
        <v>900</v>
      </c>
    </row>
    <row r="34" spans="1:6" ht="13.5" thickTop="1"/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Nine Hundred and NO/100 -----------</v>
      </c>
      <c r="C35" s="119"/>
      <c r="D35" s="119"/>
      <c r="E35" s="119"/>
      <c r="F35" s="261"/>
    </row>
    <row r="36" spans="1:6">
      <c r="A36" s="120"/>
    </row>
    <row r="37" spans="1:6" ht="25.5">
      <c r="A37" s="151" t="s">
        <v>10</v>
      </c>
      <c r="D37" s="265" t="s">
        <v>2894</v>
      </c>
      <c r="E37" s="266"/>
      <c r="F37" s="267"/>
    </row>
    <row r="38" spans="1:6">
      <c r="A38" s="123"/>
    </row>
    <row r="39" spans="1:6">
      <c r="A39" s="126"/>
    </row>
    <row r="40" spans="1:6">
      <c r="A40" s="123"/>
      <c r="C40" s="121"/>
    </row>
    <row r="41" spans="1:6">
      <c r="A41" s="150"/>
      <c r="B41" s="122"/>
    </row>
    <row r="43" spans="1:6">
      <c r="A43" s="123" t="s">
        <v>8</v>
      </c>
      <c r="D43" s="123" t="s">
        <v>7</v>
      </c>
      <c r="F43" s="124"/>
    </row>
    <row r="44" spans="1:6">
      <c r="A44" s="123"/>
    </row>
    <row r="45" spans="1:6">
      <c r="A45" s="123"/>
    </row>
    <row r="46" spans="1:6">
      <c r="A46" s="123"/>
    </row>
    <row r="47" spans="1:6">
      <c r="A47" s="150"/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A49" s="123"/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1-000000000000}">
  <sheetPr codeName="Sheet233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42578125" style="111" customWidth="1"/>
    <col min="2" max="2" width="14.5703125" style="111" customWidth="1"/>
    <col min="3" max="3" width="23" style="111" customWidth="1"/>
    <col min="4" max="4" width="12.85546875" style="111" customWidth="1"/>
    <col min="5" max="5" width="8.85546875" style="111" customWidth="1"/>
    <col min="6" max="6" width="13.57031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2836</v>
      </c>
    </row>
    <row r="10" spans="1:6">
      <c r="A10" s="111" t="s">
        <v>2008</v>
      </c>
      <c r="D10" s="112" t="s">
        <v>1162</v>
      </c>
      <c r="E10" s="112" t="s">
        <v>2835</v>
      </c>
    </row>
    <row r="11" spans="1:6">
      <c r="A11" s="111" t="s">
        <v>2009</v>
      </c>
      <c r="D11" s="112" t="s">
        <v>1187</v>
      </c>
      <c r="E11" s="112" t="s">
        <v>1094</v>
      </c>
    </row>
    <row r="12" spans="1:6">
      <c r="A12" s="111" t="s">
        <v>2010</v>
      </c>
      <c r="D12" s="112" t="s">
        <v>1188</v>
      </c>
      <c r="E12" s="112" t="s">
        <v>2837</v>
      </c>
    </row>
    <row r="13" spans="1:6">
      <c r="A13" s="111" t="s">
        <v>2011</v>
      </c>
    </row>
    <row r="14" spans="1:6">
      <c r="A14" s="111" t="s">
        <v>2012</v>
      </c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8" spans="1:6">
      <c r="C18" s="2" t="s">
        <v>1330</v>
      </c>
    </row>
    <row r="19" spans="1:6">
      <c r="C19" s="2" t="s">
        <v>2827</v>
      </c>
    </row>
    <row r="20" spans="1:6">
      <c r="C20" s="2"/>
    </row>
    <row r="21" spans="1:6">
      <c r="A21" s="112" t="s">
        <v>2838</v>
      </c>
      <c r="B21" s="116"/>
      <c r="C21" s="120" t="s">
        <v>2719</v>
      </c>
      <c r="F21" s="111">
        <f>714</f>
        <v>714</v>
      </c>
    </row>
    <row r="22" spans="1:6">
      <c r="A22" s="123" t="s">
        <v>2839</v>
      </c>
      <c r="C22" s="111" t="s">
        <v>1583</v>
      </c>
      <c r="F22" s="111">
        <f>70+54.7</f>
        <v>124.7</v>
      </c>
    </row>
    <row r="23" spans="1:6">
      <c r="C23" s="111" t="s">
        <v>2237</v>
      </c>
      <c r="F23" s="111">
        <v>720.98</v>
      </c>
    </row>
    <row r="25" spans="1:6">
      <c r="C25" s="2" t="s">
        <v>2840</v>
      </c>
    </row>
    <row r="27" spans="1:6">
      <c r="A27" s="112" t="s">
        <v>2838</v>
      </c>
      <c r="C27" s="111" t="s">
        <v>2300</v>
      </c>
      <c r="F27" s="111">
        <f>242.95</f>
        <v>242.95</v>
      </c>
    </row>
    <row r="28" spans="1:6">
      <c r="A28" s="123" t="s">
        <v>2839</v>
      </c>
      <c r="C28" s="111" t="s">
        <v>2719</v>
      </c>
      <c r="F28" s="111">
        <f>240</f>
        <v>240</v>
      </c>
    </row>
    <row r="29" spans="1:6">
      <c r="A29" s="116"/>
      <c r="B29" s="116"/>
      <c r="C29" s="111" t="s">
        <v>1583</v>
      </c>
      <c r="F29" s="111">
        <f>40+26+16+7.1+28+26+31+25+54.7</f>
        <v>253.8</v>
      </c>
    </row>
    <row r="30" spans="1:6">
      <c r="C30" s="111" t="s">
        <v>2841</v>
      </c>
      <c r="F30" s="111">
        <v>100</v>
      </c>
    </row>
    <row r="32" spans="1:6">
      <c r="B32" s="120"/>
    </row>
    <row r="33" spans="1:6">
      <c r="B33" s="120"/>
    </row>
    <row r="35" spans="1:6" ht="13.5" thickBot="1">
      <c r="F35" s="127">
        <f>SUM(F21:F34)</f>
        <v>2396.4300000000003</v>
      </c>
    </row>
    <row r="36" spans="1:6" ht="13.5" thickTop="1"/>
    <row r="37" spans="1:6" ht="20.100000000000001" customHeight="1">
      <c r="A37" s="118" t="s">
        <v>204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Three Hundred Ninety-Six and 43/100 -----------</v>
      </c>
      <c r="C37" s="119"/>
      <c r="D37" s="119"/>
      <c r="E37" s="119"/>
      <c r="F37" s="261"/>
    </row>
    <row r="38" spans="1:6">
      <c r="A38" s="120"/>
      <c r="F38" s="126"/>
    </row>
    <row r="39" spans="1:6" ht="25.5">
      <c r="A39" s="126" t="s">
        <v>10</v>
      </c>
      <c r="D39" s="265" t="s">
        <v>2894</v>
      </c>
      <c r="E39" s="266"/>
      <c r="F39" s="267"/>
    </row>
    <row r="42" spans="1:6">
      <c r="C42" s="121"/>
    </row>
    <row r="43" spans="1:6">
      <c r="A43" s="122"/>
      <c r="B43" s="122"/>
    </row>
    <row r="44" spans="1:6">
      <c r="D44" s="123" t="s">
        <v>7</v>
      </c>
    </row>
    <row r="45" spans="1:6">
      <c r="A45" s="123" t="s">
        <v>8</v>
      </c>
      <c r="F45" s="124"/>
    </row>
    <row r="49" spans="1:6">
      <c r="A49" s="122"/>
      <c r="B49" s="122"/>
      <c r="D49" s="122"/>
      <c r="E49" s="122"/>
      <c r="F49" s="122"/>
    </row>
    <row r="50" spans="1:6" s="126" customFormat="1" ht="17.100000000000001" customHeight="1">
      <c r="A50" s="151" t="s">
        <v>2948</v>
      </c>
      <c r="B50" s="125"/>
      <c r="D50" s="126" t="s">
        <v>3</v>
      </c>
    </row>
    <row r="51" spans="1:6">
      <c r="D51" s="111" t="s">
        <v>2</v>
      </c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4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1-000000000000}">
  <sheetPr codeName="Sheet223">
    <pageSetUpPr fitToPage="1"/>
  </sheetPr>
  <dimension ref="A1:G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3142</v>
      </c>
      <c r="F9" s="111"/>
    </row>
    <row r="10" spans="1:6">
      <c r="A10" s="111" t="s">
        <v>1881</v>
      </c>
      <c r="B10" s="111"/>
      <c r="C10" s="111"/>
      <c r="D10" s="112" t="s">
        <v>1162</v>
      </c>
      <c r="E10" s="123" t="s">
        <v>3126</v>
      </c>
      <c r="F10" s="111"/>
    </row>
    <row r="11" spans="1:6">
      <c r="A11" s="111" t="s">
        <v>1882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1883</v>
      </c>
      <c r="B12" s="111"/>
      <c r="C12" s="111"/>
      <c r="D12" s="112" t="s">
        <v>1135</v>
      </c>
      <c r="E12" s="112" t="s">
        <v>3143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6" t="s">
        <v>3118</v>
      </c>
      <c r="B18" s="121" t="s">
        <v>3119</v>
      </c>
      <c r="C18" s="111" t="s">
        <v>3120</v>
      </c>
      <c r="D18" s="111"/>
      <c r="E18" s="111"/>
      <c r="F18" s="111">
        <v>6000</v>
      </c>
    </row>
    <row r="19" spans="1:7">
      <c r="A19" s="112"/>
      <c r="B19" s="116"/>
      <c r="C19" s="111" t="s">
        <v>3121</v>
      </c>
      <c r="D19" s="111"/>
      <c r="E19" s="111"/>
      <c r="F19" s="111"/>
      <c r="G19" s="111"/>
    </row>
    <row r="20" spans="1:7">
      <c r="A20" s="116"/>
      <c r="B20" s="116"/>
      <c r="C20" s="111"/>
      <c r="D20" s="111"/>
      <c r="E20" s="111"/>
      <c r="F20" s="111"/>
      <c r="G20" s="111"/>
    </row>
    <row r="21" spans="1:7">
      <c r="A21" s="116"/>
      <c r="B21" s="120"/>
      <c r="C21" s="111"/>
      <c r="G21" s="111"/>
    </row>
    <row r="22" spans="1:7">
      <c r="A22" s="116"/>
      <c r="B22" s="120"/>
      <c r="C22" s="2"/>
      <c r="D22" s="111"/>
      <c r="E22" s="111"/>
      <c r="F22" s="111"/>
      <c r="G22" s="111"/>
    </row>
    <row r="23" spans="1:7">
      <c r="A23" s="116"/>
      <c r="B23" s="120"/>
      <c r="C23" s="111"/>
      <c r="D23" s="111"/>
      <c r="E23" s="111"/>
      <c r="F23" s="111"/>
      <c r="G23" s="111"/>
    </row>
    <row r="24" spans="1:7">
      <c r="A24" s="116"/>
      <c r="B24" s="116"/>
      <c r="C24" s="111"/>
      <c r="D24" s="111"/>
      <c r="E24" s="111"/>
      <c r="F24" s="111"/>
      <c r="G24" s="111"/>
    </row>
    <row r="25" spans="1:7">
      <c r="A25" s="116"/>
      <c r="B25" s="120"/>
      <c r="C25" s="111"/>
      <c r="D25" s="111"/>
      <c r="E25" s="111"/>
      <c r="F25" s="111"/>
      <c r="G25" s="111"/>
    </row>
    <row r="26" spans="1:7">
      <c r="A26" s="116"/>
      <c r="B26" s="120"/>
      <c r="C26" s="111"/>
      <c r="D26" s="111"/>
      <c r="E26" s="111"/>
      <c r="F26" s="111"/>
      <c r="G26" s="111"/>
    </row>
    <row r="27" spans="1:7">
      <c r="A27" s="116"/>
      <c r="B27" s="120"/>
      <c r="G27" s="111"/>
    </row>
    <row r="28" spans="1:7">
      <c r="A28" s="116"/>
      <c r="B28" s="120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1"/>
      <c r="B32" s="111"/>
      <c r="C32" s="111"/>
      <c r="D32" s="111"/>
      <c r="E32" s="111"/>
      <c r="G32" s="111"/>
    </row>
    <row r="33" spans="1:7" ht="13.5" thickBot="1">
      <c r="A33" s="111"/>
      <c r="B33" s="111"/>
      <c r="C33" s="111"/>
      <c r="D33" s="111"/>
      <c r="E33" s="111"/>
      <c r="F33" s="117">
        <f>SUM(F18:F32)</f>
        <v>6000</v>
      </c>
      <c r="G33" s="111"/>
    </row>
    <row r="34" spans="1:7" ht="13.5" thickTop="1">
      <c r="A34" s="111"/>
      <c r="B34" s="111"/>
      <c r="C34" s="111"/>
      <c r="D34" s="111"/>
      <c r="E34" s="111"/>
      <c r="F34" s="111"/>
      <c r="G34" s="111"/>
    </row>
    <row r="35" spans="1:7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Six Thousand and NO/100 -----------</v>
      </c>
      <c r="C35" s="119"/>
      <c r="D35" s="119"/>
      <c r="E35" s="119"/>
      <c r="F35" s="119"/>
      <c r="G35" s="111"/>
    </row>
    <row r="36" spans="1:7">
      <c r="A36" s="120" t="s">
        <v>11</v>
      </c>
      <c r="B36" s="111"/>
      <c r="C36" s="111"/>
      <c r="D36" s="111"/>
      <c r="E36" s="111"/>
      <c r="F36" s="111"/>
    </row>
    <row r="37" spans="1:7">
      <c r="A37" s="111" t="s">
        <v>10</v>
      </c>
      <c r="B37" s="111"/>
      <c r="C37" s="111"/>
      <c r="D37" s="111"/>
      <c r="E37" s="111"/>
      <c r="F37" s="111"/>
    </row>
    <row r="38" spans="1:7">
      <c r="A38" s="111"/>
      <c r="B38" s="111"/>
      <c r="C38" s="111"/>
      <c r="D38" s="111"/>
      <c r="E38" s="111"/>
      <c r="F38" s="111"/>
    </row>
    <row r="39" spans="1:7" ht="25.5">
      <c r="A39" s="126"/>
      <c r="B39" s="111"/>
      <c r="C39" s="111"/>
      <c r="D39" s="265" t="s">
        <v>2894</v>
      </c>
      <c r="E39" s="266"/>
      <c r="F39" s="267"/>
    </row>
    <row r="40" spans="1:7">
      <c r="A40" s="111"/>
      <c r="B40" s="111"/>
      <c r="C40" s="121"/>
      <c r="D40" s="111"/>
      <c r="E40" s="111"/>
      <c r="F40" s="111"/>
    </row>
    <row r="41" spans="1:7">
      <c r="A41" s="122"/>
      <c r="B41" s="122"/>
      <c r="C41" s="111"/>
      <c r="D41" s="111"/>
      <c r="E41" s="111"/>
      <c r="F41" s="111"/>
    </row>
    <row r="42" spans="1:7">
      <c r="B42" s="111"/>
      <c r="C42" s="111"/>
      <c r="D42" s="111"/>
      <c r="E42" s="111"/>
      <c r="F42" s="111"/>
    </row>
    <row r="43" spans="1:7">
      <c r="A43" s="123" t="s">
        <v>8</v>
      </c>
      <c r="C43" s="111"/>
      <c r="D43" s="123" t="s">
        <v>7</v>
      </c>
      <c r="E43" s="111"/>
      <c r="F43" s="124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11"/>
      <c r="D45" s="111"/>
      <c r="E45" s="111"/>
      <c r="F45" s="111"/>
    </row>
    <row r="46" spans="1:7">
      <c r="A46" s="111"/>
      <c r="B46" s="111"/>
      <c r="C46" s="111"/>
      <c r="D46" s="111"/>
      <c r="E46" s="111"/>
      <c r="F46" s="111"/>
    </row>
    <row r="47" spans="1:7">
      <c r="A47" s="122"/>
      <c r="B47" s="122"/>
      <c r="C47" s="111"/>
      <c r="D47" s="122"/>
      <c r="E47" s="122"/>
      <c r="F47" s="122"/>
    </row>
    <row r="48" spans="1:7" s="3" customFormat="1" ht="17.100000000000001" customHeight="1">
      <c r="A48" s="151" t="s">
        <v>2948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/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1-000000000000}">
  <sheetPr codeName="Sheet224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4.42578125" style="111" customWidth="1"/>
    <col min="3" max="3" width="22.42578125" style="111" customWidth="1"/>
    <col min="4" max="4" width="13.140625" style="111" customWidth="1"/>
    <col min="5" max="5" width="8.2851562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1845</v>
      </c>
    </row>
    <row r="10" spans="1:6">
      <c r="A10" s="111" t="s">
        <v>1852</v>
      </c>
      <c r="D10" s="112" t="s">
        <v>1180</v>
      </c>
      <c r="E10" s="112" t="s">
        <v>1846</v>
      </c>
    </row>
    <row r="11" spans="1:6">
      <c r="A11" s="111" t="s">
        <v>1843</v>
      </c>
      <c r="D11" s="112" t="s">
        <v>1181</v>
      </c>
      <c r="E11" s="112" t="s">
        <v>1094</v>
      </c>
    </row>
    <row r="12" spans="1:6">
      <c r="A12" s="111" t="s">
        <v>1496</v>
      </c>
      <c r="D12" s="112" t="s">
        <v>1182</v>
      </c>
      <c r="E12" s="112" t="s">
        <v>1847</v>
      </c>
    </row>
    <row r="13" spans="1:6">
      <c r="A13" s="111" t="s">
        <v>1844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61"/>
      <c r="B18" s="161"/>
      <c r="C18" s="2" t="s">
        <v>1848</v>
      </c>
    </row>
    <row r="19" spans="1:6">
      <c r="A19" s="116"/>
      <c r="B19" s="121"/>
      <c r="F19" s="149"/>
    </row>
    <row r="20" spans="1:6">
      <c r="A20" s="116"/>
      <c r="B20" s="121"/>
      <c r="C20" s="111" t="s">
        <v>1849</v>
      </c>
      <c r="F20" s="149">
        <v>200</v>
      </c>
    </row>
    <row r="21" spans="1:6">
      <c r="A21" s="115"/>
      <c r="B21" s="121"/>
      <c r="C21" s="111" t="s">
        <v>1850</v>
      </c>
      <c r="F21" s="149"/>
    </row>
    <row r="23" spans="1:6">
      <c r="A23" s="148"/>
      <c r="B23" s="157"/>
      <c r="F23" s="149"/>
    </row>
    <row r="24" spans="1:6">
      <c r="A24" s="148"/>
      <c r="B24" s="157"/>
    </row>
    <row r="25" spans="1:6">
      <c r="A25" s="148"/>
      <c r="B25" s="157"/>
      <c r="F25" s="149"/>
    </row>
    <row r="26" spans="1:6">
      <c r="A26" s="148"/>
      <c r="B26" s="120"/>
    </row>
    <row r="27" spans="1:6">
      <c r="A27" s="148"/>
    </row>
    <row r="28" spans="1:6">
      <c r="A28" s="148"/>
    </row>
    <row r="33" spans="1:6" ht="13.5" thickBot="1">
      <c r="F33" s="127">
        <f>SUM(F20:F32)</f>
        <v>200</v>
      </c>
    </row>
    <row r="34" spans="1:6" ht="13.5" thickTop="1"/>
    <row r="35" spans="1:6" ht="20.100000000000001" customHeight="1">
      <c r="A35" s="118" t="s">
        <v>204</v>
      </c>
      <c r="B35" s="118" t="s">
        <v>1851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1-000000000000}">
  <sheetPr codeName="Sheet225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2.28515625" style="131" customWidth="1"/>
    <col min="5" max="5" width="9" style="131" customWidth="1"/>
    <col min="6" max="6" width="13.28515625" style="131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A9" s="131" t="s">
        <v>1713</v>
      </c>
      <c r="D9" s="132" t="s">
        <v>1110</v>
      </c>
      <c r="E9" s="111" t="s">
        <v>1900</v>
      </c>
    </row>
    <row r="10" spans="1:6">
      <c r="A10" s="131" t="s">
        <v>1714</v>
      </c>
      <c r="D10" s="132" t="s">
        <v>1685</v>
      </c>
      <c r="E10" s="112" t="s">
        <v>1898</v>
      </c>
    </row>
    <row r="11" spans="1:6">
      <c r="D11" s="132" t="s">
        <v>1163</v>
      </c>
      <c r="E11" s="112" t="s">
        <v>1094</v>
      </c>
    </row>
    <row r="12" spans="1:6">
      <c r="D12" s="132" t="s">
        <v>1188</v>
      </c>
      <c r="E12" s="112" t="s">
        <v>1901</v>
      </c>
    </row>
    <row r="13" spans="1:6">
      <c r="E13" s="111"/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6">
      <c r="A17" s="177"/>
    </row>
    <row r="18" spans="1:6">
      <c r="C18" s="110" t="s">
        <v>1715</v>
      </c>
    </row>
    <row r="19" spans="1:6">
      <c r="A19" s="177"/>
    </row>
    <row r="20" spans="1:6">
      <c r="A20" s="158"/>
      <c r="B20" s="158"/>
      <c r="C20" s="131" t="s">
        <v>1902</v>
      </c>
    </row>
    <row r="21" spans="1:6">
      <c r="A21" s="177"/>
      <c r="C21" s="131" t="s">
        <v>1903</v>
      </c>
      <c r="F21" s="131">
        <f>10*17</f>
        <v>170</v>
      </c>
    </row>
    <row r="22" spans="1:6">
      <c r="A22" s="177"/>
    </row>
    <row r="23" spans="1:6">
      <c r="A23" s="177"/>
    </row>
    <row r="25" spans="1:6">
      <c r="A25" s="158"/>
      <c r="B25" s="158"/>
    </row>
    <row r="26" spans="1:6">
      <c r="A26" s="86"/>
      <c r="B26" s="86"/>
    </row>
    <row r="27" spans="1:6">
      <c r="A27" s="86"/>
      <c r="B27" s="86"/>
    </row>
    <row r="28" spans="1:6">
      <c r="A28" s="86"/>
      <c r="B28" s="86"/>
      <c r="C28" s="86"/>
      <c r="D28" s="86"/>
      <c r="E28" s="86"/>
      <c r="F28" s="86"/>
    </row>
    <row r="29" spans="1:6" ht="13.5" thickBot="1">
      <c r="A29" s="177"/>
      <c r="F29" s="137">
        <f>SUM(F19:F28)</f>
        <v>170</v>
      </c>
    </row>
    <row r="30" spans="1:6" ht="13.5" thickTop="1">
      <c r="A30" s="177"/>
    </row>
    <row r="31" spans="1:6">
      <c r="A31" s="177"/>
    </row>
    <row r="32" spans="1:6" ht="20.100000000000001" customHeight="1">
      <c r="A32" s="138" t="s">
        <v>1686</v>
      </c>
      <c r="B32" s="138" t="s">
        <v>1904</v>
      </c>
      <c r="C32" s="139"/>
      <c r="D32" s="139"/>
      <c r="E32" s="139"/>
    </row>
    <row r="33" spans="1:6" ht="13.5" thickBot="1">
      <c r="A33" s="140"/>
      <c r="F33" s="230">
        <f>SUM(F20:F32)</f>
        <v>340</v>
      </c>
    </row>
    <row r="34" spans="1:6" ht="13.5" thickTop="1">
      <c r="A34" s="131" t="s">
        <v>10</v>
      </c>
    </row>
    <row r="37" spans="1:6">
      <c r="A37" s="131" t="s">
        <v>51</v>
      </c>
      <c r="C37" s="141"/>
    </row>
    <row r="38" spans="1:6">
      <c r="A38" s="142"/>
      <c r="B38" s="142"/>
    </row>
    <row r="39" spans="1:6" ht="25.5">
      <c r="A39" s="147"/>
      <c r="D39" s="265" t="s">
        <v>2894</v>
      </c>
      <c r="E39" s="266"/>
      <c r="F39" s="267"/>
    </row>
    <row r="40" spans="1:6">
      <c r="A40" s="131" t="s">
        <v>8</v>
      </c>
      <c r="D40" s="143" t="s">
        <v>7</v>
      </c>
      <c r="F40" s="144"/>
    </row>
    <row r="44" spans="1:6">
      <c r="A44" s="142" t="s">
        <v>51</v>
      </c>
      <c r="B44" s="142"/>
      <c r="D44" s="142"/>
      <c r="E44" s="142"/>
      <c r="F44" s="142"/>
    </row>
    <row r="45" spans="1:6" s="109" customFormat="1" ht="17.100000000000001" customHeight="1">
      <c r="A45" s="147" t="s">
        <v>4</v>
      </c>
      <c r="B45" s="146"/>
      <c r="C45" s="147"/>
      <c r="D45" s="147" t="s">
        <v>3</v>
      </c>
      <c r="E45" s="147"/>
      <c r="F45" s="147"/>
    </row>
    <row r="46" spans="1:6">
      <c r="D46" s="131" t="s">
        <v>2</v>
      </c>
    </row>
    <row r="48" spans="1:6">
      <c r="D48" s="110" t="s">
        <v>1</v>
      </c>
    </row>
    <row r="49" spans="1:4">
      <c r="D49" s="110" t="s">
        <v>0</v>
      </c>
    </row>
    <row r="50" spans="1:4">
      <c r="A50" s="145" t="s">
        <v>2948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1-000000000000}">
  <sheetPr codeName="Sheet226">
    <pageSetUpPr fitToPage="1"/>
  </sheetPr>
  <dimension ref="A1:H56"/>
  <sheetViews>
    <sheetView topLeftCell="A1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2937</v>
      </c>
      <c r="F9" s="111"/>
    </row>
    <row r="10" spans="1:6">
      <c r="A10" s="111" t="s">
        <v>2933</v>
      </c>
      <c r="B10" s="111"/>
      <c r="C10" s="111"/>
      <c r="D10" s="112" t="s">
        <v>1162</v>
      </c>
      <c r="E10" s="112" t="s">
        <v>2917</v>
      </c>
      <c r="F10" s="111"/>
    </row>
    <row r="11" spans="1:6">
      <c r="A11" s="111" t="s">
        <v>1833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1831</v>
      </c>
      <c r="B12" s="111"/>
      <c r="C12" s="111"/>
      <c r="D12" s="112" t="s">
        <v>1096</v>
      </c>
      <c r="E12" s="112" t="s">
        <v>2945</v>
      </c>
      <c r="F12" s="111"/>
    </row>
    <row r="13" spans="1:6">
      <c r="A13" s="111" t="s">
        <v>1354</v>
      </c>
      <c r="B13" s="111"/>
      <c r="C13" s="111"/>
      <c r="D13" s="111"/>
      <c r="E13" s="111"/>
      <c r="F13" s="111"/>
    </row>
    <row r="14" spans="1:6">
      <c r="A14" s="111" t="s">
        <v>1832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8">
      <c r="A17" s="111"/>
      <c r="B17" s="111"/>
      <c r="C17" s="111"/>
      <c r="D17" s="111"/>
      <c r="E17" s="111"/>
      <c r="F17" s="111"/>
    </row>
    <row r="18" spans="1:8">
      <c r="A18" s="111"/>
      <c r="B18" s="111"/>
      <c r="C18" s="2" t="s">
        <v>2934</v>
      </c>
      <c r="D18" s="111"/>
      <c r="E18" s="111"/>
      <c r="F18" s="111"/>
    </row>
    <row r="19" spans="1:8">
      <c r="G19" s="111"/>
      <c r="H19" s="111"/>
    </row>
    <row r="20" spans="1:8">
      <c r="A20" s="206" t="s">
        <v>2935</v>
      </c>
      <c r="B20" s="111"/>
      <c r="C20" s="111" t="s">
        <v>2936</v>
      </c>
      <c r="D20" s="111"/>
      <c r="E20" s="111"/>
      <c r="F20" s="111">
        <v>1200</v>
      </c>
    </row>
    <row r="21" spans="1:8">
      <c r="A21" s="116"/>
      <c r="B21" s="111"/>
      <c r="C21" s="111"/>
      <c r="D21" s="111"/>
      <c r="E21" s="111"/>
      <c r="F21" s="111"/>
    </row>
    <row r="22" spans="1:8">
      <c r="A22" s="111"/>
      <c r="B22" s="111"/>
      <c r="C22" s="111"/>
      <c r="D22" s="111"/>
      <c r="E22" s="111"/>
      <c r="F22" s="111"/>
    </row>
    <row r="23" spans="1:8">
      <c r="A23" s="111"/>
      <c r="B23" s="111"/>
      <c r="C23" s="111"/>
      <c r="D23" s="111"/>
      <c r="E23" s="111"/>
      <c r="F23" s="111"/>
    </row>
    <row r="24" spans="1:8">
      <c r="A24" s="111"/>
      <c r="B24" s="111"/>
      <c r="C24" s="111"/>
      <c r="D24" s="111"/>
      <c r="E24" s="111"/>
      <c r="F24" s="111"/>
    </row>
    <row r="25" spans="1:8">
      <c r="A25" s="111"/>
      <c r="B25" s="111"/>
      <c r="C25" s="111"/>
      <c r="D25" s="111"/>
      <c r="E25" s="111"/>
      <c r="F25" s="111"/>
    </row>
    <row r="26" spans="1:8">
      <c r="A26" s="111"/>
      <c r="B26" s="111"/>
    </row>
    <row r="27" spans="1:8">
      <c r="A27" s="111"/>
      <c r="B27" s="111"/>
    </row>
    <row r="28" spans="1:8">
      <c r="A28" s="111"/>
      <c r="B28" s="111"/>
    </row>
    <row r="29" spans="1:8">
      <c r="A29" s="111"/>
      <c r="B29" s="111"/>
      <c r="C29" s="111"/>
      <c r="D29" s="111"/>
      <c r="E29" s="111"/>
      <c r="F29" s="111"/>
    </row>
    <row r="30" spans="1:8">
      <c r="A30" s="111"/>
      <c r="B30" s="111"/>
      <c r="C30" s="111"/>
      <c r="D30" s="111"/>
      <c r="E30" s="111"/>
      <c r="F30" s="111"/>
    </row>
    <row r="31" spans="1:8">
      <c r="A31" s="111"/>
      <c r="B31" s="111"/>
      <c r="C31" s="111"/>
      <c r="D31" s="111"/>
      <c r="E31" s="111"/>
      <c r="F31" s="111"/>
    </row>
    <row r="32" spans="1:8">
      <c r="A32" s="111"/>
      <c r="B32" s="111"/>
      <c r="C32" s="111"/>
      <c r="D32" s="111"/>
      <c r="E32" s="111"/>
      <c r="F32" s="111"/>
    </row>
    <row r="33" spans="1:6">
      <c r="A33" s="111"/>
      <c r="B33" s="111"/>
      <c r="C33" s="111"/>
      <c r="D33" s="111"/>
      <c r="E33" s="111"/>
      <c r="F33" s="111"/>
    </row>
    <row r="34" spans="1:6">
      <c r="A34" s="111"/>
      <c r="B34" s="111"/>
      <c r="C34" s="111"/>
      <c r="D34" s="111"/>
      <c r="E34" s="111"/>
    </row>
    <row r="35" spans="1:6" ht="13.5" thickBot="1">
      <c r="A35" s="111"/>
      <c r="B35" s="111"/>
      <c r="C35" s="111"/>
      <c r="D35" s="111"/>
      <c r="E35" s="111"/>
      <c r="F35" s="117">
        <f>SUM(F20:F34)</f>
        <v>1200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Two Hundred and NO/100 -----------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11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26"/>
      <c r="B41" s="111"/>
      <c r="C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A44" s="111"/>
      <c r="B44" s="111"/>
      <c r="C44" s="111"/>
      <c r="D44" s="111"/>
      <c r="E44" s="111"/>
      <c r="F44" s="111"/>
    </row>
    <row r="45" spans="1:6">
      <c r="A45" s="123" t="s">
        <v>8</v>
      </c>
      <c r="B45" s="111"/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4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1-000000000000}">
  <sheetPr codeName="Sheet176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1673</v>
      </c>
    </row>
    <row r="10" spans="1:6">
      <c r="A10" s="111" t="s">
        <v>1578</v>
      </c>
      <c r="D10" s="112" t="s">
        <v>1180</v>
      </c>
      <c r="E10" s="112" t="s">
        <v>1671</v>
      </c>
    </row>
    <row r="11" spans="1:6">
      <c r="A11" s="111" t="s">
        <v>1579</v>
      </c>
      <c r="D11" s="112" t="s">
        <v>1181</v>
      </c>
      <c r="E11" s="112" t="s">
        <v>1094</v>
      </c>
    </row>
    <row r="12" spans="1:6">
      <c r="D12" s="112" t="s">
        <v>1182</v>
      </c>
      <c r="E12" s="112" t="s">
        <v>1674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168" t="s">
        <v>1580</v>
      </c>
    </row>
    <row r="19" spans="1:6">
      <c r="B19" s="116"/>
      <c r="C19" s="2"/>
    </row>
    <row r="20" spans="1:6">
      <c r="C20" s="111" t="s">
        <v>1581</v>
      </c>
      <c r="F20" s="111">
        <v>150</v>
      </c>
    </row>
    <row r="21" spans="1:6">
      <c r="A21" s="116"/>
      <c r="B21" s="116"/>
      <c r="C21" s="111" t="s">
        <v>1672</v>
      </c>
    </row>
    <row r="22" spans="1:6">
      <c r="A22" s="116"/>
      <c r="B22" s="116"/>
    </row>
    <row r="24" spans="1:6">
      <c r="A24" s="148"/>
      <c r="B24" s="157"/>
      <c r="F24" s="149"/>
    </row>
    <row r="25" spans="1:6">
      <c r="C25" s="2"/>
    </row>
    <row r="27" spans="1:6">
      <c r="A27" s="115"/>
      <c r="B27" s="121"/>
      <c r="F27" s="149"/>
    </row>
    <row r="29" spans="1:6">
      <c r="A29" s="115"/>
      <c r="B29" s="121"/>
      <c r="F29" s="149"/>
    </row>
    <row r="33" spans="1:6" ht="13.5" thickBot="1">
      <c r="F33" s="127">
        <f>SUM(F20:F32)</f>
        <v>150</v>
      </c>
    </row>
    <row r="34" spans="1:6" ht="13.5" thickTop="1"/>
    <row r="35" spans="1:6" ht="20.100000000000001" customHeight="1">
      <c r="A35" s="118" t="s">
        <v>204</v>
      </c>
      <c r="B35" s="118" t="s">
        <v>1582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1-000000000000}">
  <sheetPr codeName="Sheet204"/>
  <dimension ref="A1:G52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42578125" style="1" customWidth="1"/>
    <col min="2" max="2" width="13.28515625" style="1" customWidth="1"/>
    <col min="3" max="3" width="1.42578125" style="1" customWidth="1"/>
    <col min="4" max="4" width="23" style="1" customWidth="1"/>
    <col min="5" max="5" width="1" style="1" customWidth="1"/>
    <col min="6" max="6" width="14.7109375" style="1" customWidth="1"/>
    <col min="7" max="7" width="14.85546875" style="1" customWidth="1"/>
    <col min="8" max="16384" width="9.140625" style="1"/>
  </cols>
  <sheetData>
    <row r="1" spans="1:7" ht="15">
      <c r="A1" s="528" t="s">
        <v>26</v>
      </c>
      <c r="B1" s="528"/>
      <c r="C1" s="528"/>
      <c r="D1" s="528"/>
      <c r="E1" s="528"/>
      <c r="F1" s="528"/>
      <c r="G1" s="528"/>
    </row>
    <row r="2" spans="1:7">
      <c r="A2" s="529" t="s">
        <v>25</v>
      </c>
      <c r="B2" s="529"/>
      <c r="C2" s="529"/>
      <c r="D2" s="529"/>
      <c r="E2" s="529"/>
      <c r="F2" s="529"/>
      <c r="G2" s="529"/>
    </row>
    <row r="3" spans="1:7">
      <c r="A3" s="529" t="s">
        <v>1480</v>
      </c>
      <c r="B3" s="529"/>
      <c r="C3" s="529"/>
      <c r="D3" s="529"/>
      <c r="E3" s="529"/>
      <c r="F3" s="529"/>
      <c r="G3" s="529"/>
    </row>
    <row r="4" spans="1:7">
      <c r="A4" s="529" t="s">
        <v>1481</v>
      </c>
      <c r="B4" s="529"/>
      <c r="C4" s="529"/>
      <c r="D4" s="529"/>
      <c r="E4" s="529"/>
      <c r="F4" s="529"/>
      <c r="G4" s="529"/>
    </row>
    <row r="5" spans="1:7">
      <c r="A5" s="57"/>
      <c r="B5" s="57"/>
      <c r="C5" s="453"/>
      <c r="D5" s="57"/>
      <c r="E5" s="453"/>
      <c r="F5" s="57"/>
      <c r="G5" s="57"/>
    </row>
    <row r="6" spans="1:7">
      <c r="A6" s="57"/>
      <c r="B6" s="57"/>
      <c r="C6" s="453"/>
      <c r="D6" s="57"/>
      <c r="E6" s="453"/>
      <c r="F6" s="57"/>
      <c r="G6" s="57"/>
    </row>
    <row r="7" spans="1:7">
      <c r="A7" s="111" t="s">
        <v>24</v>
      </c>
      <c r="B7" s="57"/>
      <c r="C7" s="453"/>
      <c r="D7" s="57"/>
      <c r="E7" s="453"/>
      <c r="F7" s="57"/>
      <c r="G7" s="57"/>
    </row>
    <row r="8" spans="1:7" s="111" customFormat="1" ht="12.75" customHeight="1">
      <c r="B8" s="113"/>
      <c r="C8" s="113"/>
      <c r="D8" s="113"/>
      <c r="E8" s="113"/>
      <c r="F8" s="22" t="s">
        <v>23</v>
      </c>
      <c r="G8" s="113"/>
    </row>
    <row r="9" spans="1:7" s="111" customFormat="1">
      <c r="A9" s="111" t="s">
        <v>3881</v>
      </c>
      <c r="F9" s="112" t="s">
        <v>1119</v>
      </c>
      <c r="G9" s="483" t="s">
        <v>6650</v>
      </c>
    </row>
    <row r="10" spans="1:7" s="111" customFormat="1">
      <c r="A10" s="111" t="s">
        <v>1743</v>
      </c>
      <c r="F10" s="112" t="s">
        <v>1121</v>
      </c>
      <c r="G10" s="486" t="s">
        <v>6646</v>
      </c>
    </row>
    <row r="11" spans="1:7" s="111" customFormat="1">
      <c r="A11" s="111" t="s">
        <v>1744</v>
      </c>
      <c r="F11" s="112" t="s">
        <v>1093</v>
      </c>
      <c r="G11" s="483" t="s">
        <v>1094</v>
      </c>
    </row>
    <row r="12" spans="1:7" s="111" customFormat="1">
      <c r="A12" s="111" t="s">
        <v>1745</v>
      </c>
      <c r="F12" s="112" t="s">
        <v>1120</v>
      </c>
      <c r="G12" s="483" t="s">
        <v>6651</v>
      </c>
    </row>
    <row r="13" spans="1:7" s="111" customFormat="1">
      <c r="G13" s="483" t="s">
        <v>5914</v>
      </c>
    </row>
    <row r="14" spans="1:7" s="111" customFormat="1"/>
    <row r="15" spans="1:7" s="111" customFormat="1" ht="14.25">
      <c r="A15" s="113"/>
      <c r="B15" s="113"/>
      <c r="C15" s="113"/>
      <c r="D15" s="113"/>
      <c r="E15" s="113"/>
      <c r="F15" s="113"/>
      <c r="G15" s="113"/>
    </row>
    <row r="16" spans="1:7" s="15" customFormat="1" ht="20.100000000000001" customHeight="1">
      <c r="A16" s="18" t="s">
        <v>1113</v>
      </c>
      <c r="B16" s="129" t="s">
        <v>1098</v>
      </c>
      <c r="C16" s="454"/>
      <c r="D16" s="19" t="s">
        <v>14</v>
      </c>
      <c r="E16" s="19"/>
      <c r="F16" s="18"/>
      <c r="G16" s="16" t="s">
        <v>13</v>
      </c>
    </row>
    <row r="17" spans="1:7" s="111" customFormat="1" ht="14.25">
      <c r="A17" s="114"/>
      <c r="B17" s="113"/>
      <c r="C17" s="113"/>
      <c r="D17" s="113"/>
      <c r="E17" s="113"/>
      <c r="F17" s="113"/>
      <c r="G17" s="113"/>
    </row>
    <row r="18" spans="1:7" s="111" customFormat="1">
      <c r="A18" s="161"/>
      <c r="B18" s="116"/>
      <c r="C18" s="116"/>
      <c r="D18" s="111" t="s">
        <v>6652</v>
      </c>
      <c r="G18" s="111">
        <v>179</v>
      </c>
    </row>
    <row r="19" spans="1:7" s="111" customFormat="1">
      <c r="A19" s="115"/>
      <c r="D19" s="111" t="s">
        <v>6653</v>
      </c>
    </row>
    <row r="20" spans="1:7" s="111" customFormat="1"/>
    <row r="21" spans="1:7" s="111" customFormat="1">
      <c r="A21" s="115"/>
    </row>
    <row r="22" spans="1:7" s="111" customFormat="1">
      <c r="A22" s="115"/>
    </row>
    <row r="23" spans="1:7" s="111" customFormat="1">
      <c r="A23" s="115"/>
    </row>
    <row r="24" spans="1:7" s="111" customFormat="1">
      <c r="A24" s="161"/>
      <c r="B24" s="116"/>
      <c r="C24" s="116"/>
    </row>
    <row r="25" spans="1:7" s="111" customFormat="1">
      <c r="A25" s="115"/>
    </row>
    <row r="26" spans="1:7" s="111" customFormat="1"/>
    <row r="27" spans="1:7" s="111" customFormat="1"/>
    <row r="28" spans="1:7" s="111" customFormat="1"/>
    <row r="29" spans="1:7" s="111" customFormat="1"/>
    <row r="30" spans="1:7" s="111" customFormat="1"/>
    <row r="31" spans="1:7" s="111" customFormat="1">
      <c r="A31" s="115"/>
    </row>
    <row r="32" spans="1:7" s="111" customFormat="1">
      <c r="A32" s="115"/>
    </row>
    <row r="33" spans="1:7" s="111" customFormat="1" ht="13.5" thickBot="1">
      <c r="G33" s="117">
        <f>SUM(G18:G32)</f>
        <v>179</v>
      </c>
    </row>
    <row r="34" spans="1:7" s="111" customFormat="1" ht="13.5" thickTop="1"/>
    <row r="35" spans="1:7" s="111" customFormat="1" ht="20.100000000000001" customHeight="1">
      <c r="A35" s="118" t="s">
        <v>204</v>
      </c>
      <c r="B35" s="202" t="str">
        <f>IF(OR(G33&gt;1000000,G33&lt;=0),"",IF(G33&lt;1000,"",IF(MOD(G33,1000000)&gt;=100000,INDEX(numbers,TRUNC(MOD(G33,1000000)/100000,0)+1)&amp;" Hundred","")&amp;IF(MOD(G33,100000)&gt;=20000," "&amp;INDEX(tens,TRUNC(MOD(G33,100000)/10000,0)+1)&amp;IF(MOD(MOD(G33,100000),10000)&gt;=1000,"-"&amp;INDEX(numbers,TRUNC(MOD(MOD(G33,100000),10000)/1000,0)+1),""),IF(MOD(G33,100000)&gt;=1000," "&amp;INDEX(numbers,TRUNC(MOD(G33,100000)/1000,0)+1),""))&amp;" Thousand") &amp; IF(G33&lt;1,"Zero Dollars",IF(MOD(G33,1000)&gt;=100," "&amp;INDEX(numbers,TRUNC(MOD(G33,1000)/100,0)+1)&amp;" Hundred","")&amp;IF(MOD(G33,100)&gt;=20," "&amp;INDEX(tens,TRUNC(MOD(G33,100)/10,0)+1)&amp;IF(MOD(MOD(G33,100),10)&gt;=1,"-"&amp;INDEX(numbers,TRUNC(MOD(MOD(G33,100),10),0)+1),""),IF(MOD(G33,100)&gt;=1," "&amp;INDEX(numbers,TRUNC(MOD(G33,100),0)+1),""))&amp;"") &amp; " and " &amp; IF(MOD(G33,1)&lt;0.005,"NO",ROUND(MOD(G33,1)*100,0)) &amp; "/100 -----------")</f>
        <v xml:space="preserve"> One Hundred Seventy-Nine and NO/100 -----------</v>
      </c>
      <c r="C35" s="202"/>
      <c r="D35" s="119"/>
      <c r="E35" s="119"/>
      <c r="F35" s="119"/>
      <c r="G35" s="119"/>
    </row>
    <row r="36" spans="1:7" s="111" customFormat="1">
      <c r="A36" s="120" t="s">
        <v>11</v>
      </c>
    </row>
    <row r="37" spans="1:7" s="111" customFormat="1" ht="25.5">
      <c r="A37" s="111" t="s">
        <v>10</v>
      </c>
      <c r="F37" s="265" t="s">
        <v>2894</v>
      </c>
      <c r="G37" s="267"/>
    </row>
    <row r="38" spans="1:7" s="111" customFormat="1"/>
    <row r="39" spans="1:7" s="111" customFormat="1">
      <c r="A39" s="126"/>
    </row>
    <row r="40" spans="1:7">
      <c r="A40" s="111"/>
      <c r="B40" s="111"/>
      <c r="C40" s="111"/>
      <c r="D40" s="121"/>
      <c r="E40" s="121"/>
      <c r="F40" s="111"/>
      <c r="G40" s="111"/>
    </row>
    <row r="41" spans="1:7">
      <c r="A41" s="122"/>
      <c r="B41" s="122"/>
      <c r="C41" s="433"/>
      <c r="D41" s="111"/>
      <c r="E41" s="111"/>
      <c r="F41" s="111"/>
      <c r="G41" s="111"/>
    </row>
    <row r="42" spans="1:7">
      <c r="A42" s="111"/>
      <c r="B42" s="111"/>
      <c r="C42" s="111"/>
      <c r="D42" s="111"/>
      <c r="E42" s="111"/>
      <c r="F42" s="111"/>
      <c r="G42" s="111"/>
    </row>
    <row r="43" spans="1:7">
      <c r="A43" s="123" t="s">
        <v>8</v>
      </c>
      <c r="B43" s="111"/>
      <c r="C43" s="111"/>
      <c r="D43" s="123" t="s">
        <v>8</v>
      </c>
      <c r="E43" s="111"/>
      <c r="F43" s="123" t="s">
        <v>7</v>
      </c>
      <c r="G43" s="124"/>
    </row>
    <row r="44" spans="1:7">
      <c r="A44" s="111"/>
      <c r="B44" s="111"/>
      <c r="C44" s="111"/>
      <c r="D44" s="111"/>
      <c r="E44" s="111"/>
      <c r="F44" s="111"/>
      <c r="G44" s="111"/>
    </row>
    <row r="45" spans="1:7">
      <c r="A45" s="111"/>
      <c r="B45" s="111"/>
      <c r="C45" s="111"/>
      <c r="D45" s="111"/>
      <c r="E45" s="111"/>
      <c r="F45" s="111"/>
      <c r="G45" s="111"/>
    </row>
    <row r="46" spans="1:7">
      <c r="A46" s="111"/>
      <c r="B46" s="111"/>
      <c r="C46" s="111"/>
      <c r="D46" s="111"/>
      <c r="E46" s="111"/>
      <c r="F46" s="111"/>
      <c r="G46" s="111"/>
    </row>
    <row r="47" spans="1:7">
      <c r="A47" s="122"/>
      <c r="B47" s="122"/>
      <c r="C47" s="433"/>
      <c r="D47" s="122"/>
      <c r="E47" s="111"/>
      <c r="F47" s="122"/>
      <c r="G47" s="122"/>
    </row>
    <row r="48" spans="1:7" s="3" customFormat="1" ht="17.100000000000001" customHeight="1">
      <c r="A48" s="151" t="s">
        <v>2948</v>
      </c>
      <c r="B48" s="125"/>
      <c r="C48" s="125"/>
      <c r="D48" s="151" t="s">
        <v>103</v>
      </c>
      <c r="E48" s="126"/>
      <c r="F48" s="126" t="s">
        <v>3</v>
      </c>
      <c r="G48" s="126"/>
    </row>
    <row r="49" spans="1:7">
      <c r="A49" s="111"/>
      <c r="B49" s="111"/>
      <c r="C49" s="111"/>
      <c r="D49" s="111"/>
      <c r="E49" s="111"/>
      <c r="F49" s="111" t="s">
        <v>2</v>
      </c>
      <c r="G49" s="111"/>
    </row>
    <row r="50" spans="1:7">
      <c r="A50" s="275"/>
      <c r="B50" s="13"/>
      <c r="C50" s="13"/>
      <c r="D50" s="13"/>
      <c r="E50" s="13"/>
      <c r="F50" s="13"/>
      <c r="G50" s="13"/>
    </row>
    <row r="51" spans="1:7">
      <c r="A51" s="13"/>
      <c r="B51" s="13"/>
      <c r="C51" s="13"/>
      <c r="D51" s="13"/>
      <c r="E51" s="13"/>
      <c r="F51" s="2" t="s">
        <v>1</v>
      </c>
      <c r="G51" s="13"/>
    </row>
    <row r="52" spans="1:7">
      <c r="A52" s="13"/>
      <c r="B52" s="13"/>
      <c r="C52" s="13"/>
      <c r="D52" s="13"/>
      <c r="E52" s="13"/>
      <c r="F52" s="2" t="s">
        <v>0</v>
      </c>
      <c r="G52" s="13"/>
    </row>
  </sheetData>
  <mergeCells count="4">
    <mergeCell ref="A1:G1"/>
    <mergeCell ref="A2:G2"/>
    <mergeCell ref="A3:G3"/>
    <mergeCell ref="A4:G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4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1-000000000000}">
  <sheetPr codeName="Sheet177">
    <pageSetUpPr fitToPage="1"/>
  </sheetPr>
  <dimension ref="A1:F52"/>
  <sheetViews>
    <sheetView topLeftCell="A7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3808</v>
      </c>
    </row>
    <row r="10" spans="1:6">
      <c r="A10" s="111" t="s">
        <v>1544</v>
      </c>
      <c r="D10" s="112" t="s">
        <v>1180</v>
      </c>
      <c r="E10" s="112" t="s">
        <v>3807</v>
      </c>
    </row>
    <row r="11" spans="1:6">
      <c r="A11" s="111" t="s">
        <v>1545</v>
      </c>
      <c r="D11" s="112" t="s">
        <v>1181</v>
      </c>
      <c r="E11" s="112" t="s">
        <v>1094</v>
      </c>
    </row>
    <row r="12" spans="1:6">
      <c r="A12" s="111" t="s">
        <v>1546</v>
      </c>
      <c r="D12" s="112" t="s">
        <v>1182</v>
      </c>
      <c r="E12" s="112" t="s">
        <v>3809</v>
      </c>
    </row>
    <row r="13" spans="1:6">
      <c r="A13" s="111" t="s">
        <v>1149</v>
      </c>
    </row>
    <row r="14" spans="1:6">
      <c r="A14" s="111" t="s">
        <v>1547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168" t="s">
        <v>3810</v>
      </c>
    </row>
    <row r="19" spans="1:6">
      <c r="B19" s="116"/>
      <c r="C19" s="2" t="s">
        <v>3811</v>
      </c>
    </row>
    <row r="20" spans="1:6">
      <c r="A20" s="116"/>
      <c r="B20" s="116"/>
    </row>
    <row r="21" spans="1:6">
      <c r="A21" s="116" t="s">
        <v>3812</v>
      </c>
      <c r="B21" s="116" t="s">
        <v>3813</v>
      </c>
      <c r="C21" s="111" t="s">
        <v>3814</v>
      </c>
      <c r="F21" s="111">
        <f>31*55</f>
        <v>1705</v>
      </c>
    </row>
    <row r="22" spans="1:6">
      <c r="B22" s="121"/>
      <c r="C22" s="111" t="s">
        <v>3815</v>
      </c>
      <c r="F22" s="111">
        <f>F21*10%</f>
        <v>170.5</v>
      </c>
    </row>
    <row r="23" spans="1:6">
      <c r="C23" s="111" t="s">
        <v>1814</v>
      </c>
      <c r="F23" s="111">
        <f>SUM(F21+F22)*6%</f>
        <v>112.53</v>
      </c>
    </row>
    <row r="24" spans="1:6">
      <c r="A24" s="148"/>
      <c r="B24" s="157"/>
      <c r="F24" s="149"/>
    </row>
    <row r="25" spans="1:6">
      <c r="C25" s="2"/>
    </row>
    <row r="27" spans="1:6">
      <c r="A27" s="115"/>
      <c r="B27" s="121"/>
      <c r="F27" s="149"/>
    </row>
    <row r="29" spans="1:6">
      <c r="A29" s="115"/>
      <c r="B29" s="121"/>
      <c r="F29" s="149"/>
    </row>
    <row r="33" spans="1:6" ht="13.5" thickBot="1">
      <c r="F33" s="127">
        <f>SUM(F20:F32)</f>
        <v>1988.03</v>
      </c>
    </row>
    <row r="34" spans="1:6" ht="13.5" thickTop="1"/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Nine Hundred Eighty-Eight and 3/100 -----------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1-000000000000}">
  <sheetPr codeName="Sheet178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26" t="s">
        <v>1530</v>
      </c>
    </row>
    <row r="10" spans="1:6">
      <c r="A10" s="111" t="s">
        <v>1532</v>
      </c>
      <c r="D10" s="112" t="s">
        <v>1180</v>
      </c>
      <c r="E10" s="160" t="s">
        <v>1525</v>
      </c>
    </row>
    <row r="11" spans="1:6">
      <c r="A11" s="111" t="s">
        <v>1533</v>
      </c>
      <c r="D11" s="112" t="s">
        <v>1181</v>
      </c>
      <c r="E11" s="160" t="s">
        <v>1094</v>
      </c>
    </row>
    <row r="12" spans="1:6">
      <c r="A12" s="111" t="s">
        <v>1534</v>
      </c>
      <c r="D12" s="112" t="s">
        <v>1182</v>
      </c>
      <c r="E12" s="160" t="s">
        <v>1531</v>
      </c>
    </row>
    <row r="13" spans="1:6">
      <c r="A13" s="111" t="s">
        <v>1535</v>
      </c>
    </row>
    <row r="14" spans="1:6">
      <c r="A14" s="111" t="s">
        <v>1536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168" t="s">
        <v>1537</v>
      </c>
    </row>
    <row r="19" spans="1:6">
      <c r="B19" s="116"/>
    </row>
    <row r="20" spans="1:6">
      <c r="A20" s="116" t="s">
        <v>1538</v>
      </c>
      <c r="B20" s="116" t="s">
        <v>1539</v>
      </c>
      <c r="C20" s="111" t="s">
        <v>1540</v>
      </c>
      <c r="F20" s="111">
        <f>9*400</f>
        <v>3600</v>
      </c>
    </row>
    <row r="21" spans="1:6">
      <c r="C21" s="111" t="s">
        <v>1541</v>
      </c>
    </row>
    <row r="22" spans="1:6">
      <c r="A22" s="116"/>
      <c r="B22" s="116"/>
      <c r="C22" s="111" t="s">
        <v>1542</v>
      </c>
    </row>
    <row r="24" spans="1:6">
      <c r="A24" s="148"/>
      <c r="B24" s="157"/>
      <c r="F24" s="149"/>
    </row>
    <row r="25" spans="1:6">
      <c r="C25" s="2"/>
    </row>
    <row r="27" spans="1:6">
      <c r="A27" s="115"/>
      <c r="B27" s="121"/>
      <c r="F27" s="149"/>
    </row>
    <row r="29" spans="1:6">
      <c r="A29" s="115"/>
      <c r="B29" s="121"/>
      <c r="F29" s="149"/>
    </row>
    <row r="33" spans="1:6" ht="13.5" thickBot="1">
      <c r="F33" s="127">
        <f>SUM(F20:F32)</f>
        <v>3600</v>
      </c>
    </row>
    <row r="34" spans="1:6" ht="13.5" thickTop="1"/>
    <row r="35" spans="1:6" ht="20.100000000000001" customHeight="1">
      <c r="A35" s="118" t="s">
        <v>204</v>
      </c>
      <c r="B35" s="118" t="s">
        <v>1543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458">
    <pageSetUpPr fitToPage="1"/>
  </sheetPr>
  <dimension ref="A1:H56"/>
  <sheetViews>
    <sheetView zoomScaleNormal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" style="1" customWidth="1"/>
    <col min="4" max="4" width="28.42578125" style="1" customWidth="1"/>
    <col min="5" max="5" width="0.71093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11" t="s">
        <v>4256</v>
      </c>
      <c r="H9" s="111"/>
    </row>
    <row r="10" spans="1:8">
      <c r="A10" s="111" t="s">
        <v>4190</v>
      </c>
      <c r="B10" s="111"/>
      <c r="C10" s="111"/>
      <c r="D10" s="111"/>
      <c r="E10" s="111"/>
      <c r="F10" s="112" t="s">
        <v>1162</v>
      </c>
      <c r="G10" s="111" t="s">
        <v>4254</v>
      </c>
      <c r="H10" s="111"/>
    </row>
    <row r="11" spans="1:8">
      <c r="A11" s="111" t="s">
        <v>4218</v>
      </c>
      <c r="B11" s="111"/>
      <c r="C11" s="111"/>
      <c r="D11" s="111"/>
      <c r="E11" s="111"/>
      <c r="F11" s="112" t="s">
        <v>1163</v>
      </c>
      <c r="G11" s="111" t="s">
        <v>1094</v>
      </c>
      <c r="H11" s="111"/>
    </row>
    <row r="12" spans="1:8">
      <c r="A12" s="111" t="s">
        <v>4255</v>
      </c>
      <c r="B12" s="111"/>
      <c r="C12" s="111"/>
      <c r="D12" s="111"/>
      <c r="E12" s="111"/>
      <c r="F12" s="112" t="s">
        <v>1135</v>
      </c>
      <c r="G12" s="120" t="s">
        <v>1270</v>
      </c>
      <c r="H12" s="111"/>
    </row>
    <row r="13" spans="1:8">
      <c r="A13" s="111" t="s">
        <v>4219</v>
      </c>
      <c r="B13" s="111"/>
      <c r="C13" s="111"/>
      <c r="D13" s="111"/>
      <c r="E13" s="111"/>
      <c r="F13" s="111"/>
      <c r="G13" s="13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2" t="s">
        <v>4191</v>
      </c>
      <c r="E18" s="2"/>
      <c r="F18" s="111"/>
      <c r="G18" s="111"/>
      <c r="H18" s="111"/>
    </row>
    <row r="19" spans="1:8">
      <c r="A19" s="116"/>
      <c r="B19" s="116"/>
      <c r="C19" s="116"/>
      <c r="D19" s="111"/>
      <c r="E19" s="111"/>
      <c r="F19" s="111"/>
      <c r="G19" s="111"/>
      <c r="H19" s="111"/>
    </row>
    <row r="20" spans="1:8">
      <c r="A20" s="116" t="s">
        <v>4213</v>
      </c>
      <c r="B20" s="116" t="s">
        <v>4257</v>
      </c>
      <c r="C20" s="116"/>
      <c r="D20" s="111" t="s">
        <v>4258</v>
      </c>
      <c r="E20" s="111"/>
      <c r="F20" s="111"/>
      <c r="G20" s="111"/>
      <c r="H20" s="111">
        <f>20*4.777</f>
        <v>95.54</v>
      </c>
    </row>
    <row r="21" spans="1:8">
      <c r="A21" s="111"/>
      <c r="B21" s="111"/>
      <c r="C21" s="111"/>
      <c r="D21" s="111" t="s">
        <v>4259</v>
      </c>
      <c r="E21" s="111"/>
      <c r="F21" s="111"/>
      <c r="G21" s="111"/>
      <c r="H21" s="111"/>
    </row>
    <row r="22" spans="1:8">
      <c r="A22" s="116"/>
      <c r="B22" s="116"/>
      <c r="C22" s="116"/>
      <c r="D22" s="111" t="s">
        <v>1697</v>
      </c>
      <c r="H22" s="111">
        <v>20</v>
      </c>
    </row>
    <row r="23" spans="1:8">
      <c r="B23" s="116"/>
      <c r="C23" s="116"/>
      <c r="D23" s="111"/>
      <c r="E23" s="111"/>
      <c r="F23" s="111"/>
      <c r="G23" s="111"/>
      <c r="H23" s="111"/>
    </row>
    <row r="24" spans="1:8">
      <c r="B24" s="116"/>
      <c r="C24" s="116"/>
      <c r="D24" s="111" t="s">
        <v>4221</v>
      </c>
      <c r="E24" s="111"/>
      <c r="F24" s="111"/>
      <c r="G24" s="111"/>
      <c r="H24" s="111">
        <v>1.2</v>
      </c>
    </row>
    <row r="25" spans="1:8">
      <c r="B25" s="116"/>
      <c r="C25" s="116"/>
    </row>
    <row r="26" spans="1:8">
      <c r="A26" s="116"/>
      <c r="B26" s="116"/>
      <c r="C26" s="116"/>
      <c r="D26" s="111" t="s">
        <v>4260</v>
      </c>
      <c r="E26" s="111"/>
      <c r="F26" s="111"/>
      <c r="G26" s="111"/>
      <c r="H26" s="111">
        <v>180</v>
      </c>
    </row>
    <row r="27" spans="1:8">
      <c r="A27" s="116"/>
      <c r="B27" s="116"/>
      <c r="C27" s="116"/>
      <c r="D27" s="111"/>
      <c r="E27" s="111"/>
      <c r="F27" s="111"/>
      <c r="G27" s="111"/>
      <c r="H27" s="111"/>
    </row>
    <row r="28" spans="1:8">
      <c r="A28" s="111"/>
      <c r="B28" s="111"/>
      <c r="C28" s="111"/>
      <c r="D28" s="111" t="s">
        <v>1814</v>
      </c>
      <c r="E28" s="111"/>
      <c r="F28" s="111"/>
      <c r="G28" s="111"/>
      <c r="H28" s="111">
        <v>10.8</v>
      </c>
    </row>
    <row r="29" spans="1:8">
      <c r="A29" s="116"/>
      <c r="B29" s="116"/>
      <c r="C29" s="116"/>
      <c r="D29" s="111"/>
      <c r="E29" s="111"/>
      <c r="F29" s="111"/>
      <c r="G29" s="111"/>
      <c r="H29" s="111"/>
    </row>
    <row r="30" spans="1:8">
      <c r="B30" s="116"/>
      <c r="C30" s="116"/>
    </row>
    <row r="31" spans="1:8">
      <c r="A31" s="116"/>
      <c r="B31" s="116"/>
      <c r="C31" s="116"/>
      <c r="D31" s="111"/>
      <c r="E31" s="111"/>
      <c r="H31" s="111"/>
    </row>
    <row r="34" spans="1:8">
      <c r="A34" s="111"/>
      <c r="B34" s="111"/>
      <c r="C34" s="111"/>
      <c r="D34" s="111"/>
      <c r="E34" s="111"/>
      <c r="F34" s="111"/>
      <c r="G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307.54000000000002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Hundred Seven and 54/100 -----------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D45" s="123"/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11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/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4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1-000000000000}">
  <sheetPr codeName="Sheet179"/>
  <dimension ref="A1:I53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42578125" style="1" customWidth="1"/>
    <col min="2" max="2" width="12.140625" style="1" customWidth="1"/>
    <col min="3" max="3" width="0.7109375" style="1" customWidth="1"/>
    <col min="4" max="4" width="23" style="1" customWidth="1"/>
    <col min="5" max="5" width="1.28515625" style="1" customWidth="1"/>
    <col min="6" max="6" width="14.7109375" style="1" customWidth="1"/>
    <col min="7" max="7" width="10.5703125" style="1" customWidth="1"/>
    <col min="8" max="8" width="13.7109375" style="1" customWidth="1"/>
    <col min="9" max="16384" width="9.140625" style="1"/>
  </cols>
  <sheetData>
    <row r="1" spans="1:9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9">
      <c r="A2" s="529" t="s">
        <v>25</v>
      </c>
      <c r="B2" s="529"/>
      <c r="C2" s="529"/>
      <c r="D2" s="529"/>
      <c r="E2" s="529"/>
      <c r="F2" s="529"/>
      <c r="G2" s="529"/>
      <c r="H2" s="529"/>
    </row>
    <row r="3" spans="1:9">
      <c r="A3" s="529" t="s">
        <v>1480</v>
      </c>
      <c r="B3" s="529"/>
      <c r="C3" s="529"/>
      <c r="D3" s="529"/>
      <c r="E3" s="529"/>
      <c r="F3" s="529"/>
      <c r="G3" s="529"/>
      <c r="H3" s="529"/>
    </row>
    <row r="4" spans="1:9">
      <c r="A4" s="529" t="s">
        <v>1481</v>
      </c>
      <c r="B4" s="529"/>
      <c r="C4" s="529"/>
      <c r="D4" s="529"/>
      <c r="E4" s="529"/>
      <c r="F4" s="529"/>
      <c r="G4" s="529"/>
      <c r="H4" s="529"/>
    </row>
    <row r="5" spans="1:9">
      <c r="A5" s="57"/>
      <c r="B5" s="57"/>
      <c r="C5" s="460"/>
      <c r="D5" s="57"/>
      <c r="E5" s="460"/>
      <c r="F5" s="57"/>
      <c r="G5" s="57"/>
      <c r="H5" s="57"/>
    </row>
    <row r="6" spans="1:9">
      <c r="A6" s="57"/>
      <c r="B6" s="57"/>
      <c r="C6" s="460"/>
      <c r="D6" s="57"/>
      <c r="E6" s="460"/>
      <c r="F6" s="57"/>
      <c r="G6" s="57"/>
      <c r="H6" s="57"/>
    </row>
    <row r="7" spans="1:9">
      <c r="A7" s="111" t="s">
        <v>24</v>
      </c>
      <c r="B7" s="57"/>
      <c r="C7" s="460"/>
      <c r="D7" s="57"/>
      <c r="E7" s="460"/>
      <c r="F7" s="57"/>
      <c r="G7" s="57"/>
      <c r="H7" s="57"/>
    </row>
    <row r="8" spans="1:9" s="111" customFormat="1" ht="12.75" customHeight="1">
      <c r="B8" s="113"/>
      <c r="C8" s="113"/>
      <c r="D8" s="113"/>
      <c r="E8" s="113"/>
      <c r="F8" s="22" t="s">
        <v>23</v>
      </c>
      <c r="H8" s="113"/>
    </row>
    <row r="9" spans="1:9" s="111" customFormat="1">
      <c r="A9" s="111" t="s">
        <v>1520</v>
      </c>
      <c r="F9" s="112" t="s">
        <v>1119</v>
      </c>
      <c r="G9" s="488" t="s">
        <v>6524</v>
      </c>
      <c r="H9" s="131"/>
    </row>
    <row r="10" spans="1:9" s="111" customFormat="1">
      <c r="A10" s="111" t="s">
        <v>1521</v>
      </c>
      <c r="F10" s="112" t="s">
        <v>1121</v>
      </c>
      <c r="G10" s="489" t="s">
        <v>6518</v>
      </c>
      <c r="H10" s="131"/>
    </row>
    <row r="11" spans="1:9" s="111" customFormat="1">
      <c r="A11" s="111" t="s">
        <v>1522</v>
      </c>
      <c r="F11" s="112" t="s">
        <v>1093</v>
      </c>
      <c r="G11" s="489" t="s">
        <v>1094</v>
      </c>
      <c r="H11" s="131"/>
    </row>
    <row r="12" spans="1:9" s="111" customFormat="1">
      <c r="A12" s="111" t="s">
        <v>1523</v>
      </c>
      <c r="F12" s="112" t="s">
        <v>1120</v>
      </c>
      <c r="G12" s="489" t="s">
        <v>6525</v>
      </c>
      <c r="H12" s="131"/>
    </row>
    <row r="13" spans="1:9" s="111" customFormat="1">
      <c r="A13" s="111" t="s">
        <v>1524</v>
      </c>
      <c r="G13" s="488" t="s">
        <v>5914</v>
      </c>
      <c r="H13" s="131"/>
    </row>
    <row r="14" spans="1:9" s="111" customFormat="1"/>
    <row r="15" spans="1:9" s="111" customFormat="1" ht="14.25">
      <c r="A15" s="113"/>
      <c r="B15" s="170"/>
      <c r="C15" s="170"/>
      <c r="D15" s="113"/>
      <c r="E15" s="113"/>
      <c r="F15" s="113"/>
      <c r="G15" s="113"/>
      <c r="H15" s="113"/>
      <c r="I15" s="111" t="s">
        <v>1034</v>
      </c>
    </row>
    <row r="16" spans="1:9" s="15" customFormat="1" ht="20.100000000000001" customHeight="1">
      <c r="A16" s="18" t="s">
        <v>1113</v>
      </c>
      <c r="B16" s="129" t="s">
        <v>1098</v>
      </c>
      <c r="C16" s="461"/>
      <c r="D16" s="19" t="s">
        <v>14</v>
      </c>
      <c r="E16" s="19"/>
      <c r="F16" s="18"/>
      <c r="G16" s="17"/>
      <c r="H16" s="16" t="s">
        <v>13</v>
      </c>
    </row>
    <row r="17" spans="1:9" s="111" customFormat="1" ht="14.25">
      <c r="A17" s="114"/>
      <c r="B17" s="170"/>
      <c r="C17" s="170"/>
      <c r="D17" s="113"/>
      <c r="E17" s="113"/>
      <c r="F17" s="113"/>
      <c r="G17" s="113"/>
      <c r="H17" s="113"/>
    </row>
    <row r="18" spans="1:9" s="111" customFormat="1">
      <c r="A18" s="485" t="s">
        <v>6526</v>
      </c>
      <c r="B18" s="121" t="s">
        <v>6527</v>
      </c>
      <c r="C18" s="121"/>
      <c r="D18" s="111" t="s">
        <v>6528</v>
      </c>
      <c r="H18" s="111">
        <v>18.2</v>
      </c>
    </row>
    <row r="19" spans="1:9">
      <c r="D19" s="483" t="s">
        <v>6529</v>
      </c>
      <c r="E19" s="111"/>
      <c r="H19" s="111">
        <v>22.4</v>
      </c>
    </row>
    <row r="20" spans="1:9">
      <c r="A20" s="116"/>
      <c r="B20" s="121"/>
      <c r="C20" s="121"/>
      <c r="D20" s="111"/>
      <c r="E20" s="111"/>
      <c r="F20" s="111"/>
      <c r="G20" s="111"/>
      <c r="H20" s="111"/>
    </row>
    <row r="21" spans="1:9" s="111" customFormat="1">
      <c r="A21" s="116"/>
      <c r="B21" s="121"/>
      <c r="C21" s="121"/>
    </row>
    <row r="22" spans="1:9" s="111" customFormat="1">
      <c r="A22" s="1"/>
      <c r="B22" s="1"/>
      <c r="C22" s="1"/>
      <c r="F22" s="1"/>
      <c r="G22" s="1"/>
    </row>
    <row r="23" spans="1:9" s="111" customFormat="1">
      <c r="A23" s="116"/>
      <c r="B23" s="121"/>
      <c r="C23" s="121"/>
    </row>
    <row r="24" spans="1:9" s="111" customFormat="1">
      <c r="A24" s="116"/>
      <c r="B24" s="121"/>
      <c r="C24" s="121"/>
      <c r="I24" s="167"/>
    </row>
    <row r="25" spans="1:9" s="111" customFormat="1">
      <c r="A25" s="298"/>
      <c r="B25" s="299"/>
      <c r="C25" s="299"/>
      <c r="F25" s="167"/>
      <c r="G25" s="167"/>
      <c r="I25" s="167"/>
    </row>
    <row r="26" spans="1:9" s="111" customFormat="1">
      <c r="A26" s="116"/>
      <c r="B26" s="121"/>
      <c r="C26" s="121"/>
      <c r="I26" s="167"/>
    </row>
    <row r="27" spans="1:9" s="111" customFormat="1"/>
    <row r="28" spans="1:9" s="111" customFormat="1">
      <c r="A28" s="116"/>
      <c r="B28" s="121"/>
      <c r="C28" s="121"/>
    </row>
    <row r="29" spans="1:9" s="111" customFormat="1">
      <c r="A29" s="116"/>
      <c r="B29" s="121"/>
      <c r="C29" s="121"/>
    </row>
    <row r="30" spans="1:9" s="111" customFormat="1">
      <c r="A30" s="116"/>
      <c r="B30" s="121"/>
      <c r="C30" s="121"/>
    </row>
    <row r="31" spans="1:9" s="111" customFormat="1">
      <c r="A31" s="116"/>
      <c r="B31" s="121"/>
      <c r="C31" s="121"/>
    </row>
    <row r="32" spans="1:9" s="111" customFormat="1">
      <c r="A32" s="116"/>
      <c r="B32" s="121"/>
      <c r="C32" s="121"/>
    </row>
    <row r="33" spans="1:8" s="111" customFormat="1">
      <c r="A33" s="161"/>
      <c r="B33" s="116"/>
      <c r="C33" s="116"/>
    </row>
    <row r="34" spans="1:8" s="111" customFormat="1" ht="13.5" thickBot="1">
      <c r="H34" s="117">
        <f>SUM(H18:H33)</f>
        <v>40.599999999999994</v>
      </c>
    </row>
    <row r="35" spans="1:8" s="111" customFormat="1" ht="13.5" thickTop="1"/>
    <row r="36" spans="1:8" s="111" customFormat="1" ht="20.100000000000001" customHeight="1">
      <c r="A36" s="118" t="s">
        <v>204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Forty and 60/100 -----------</v>
      </c>
      <c r="C36" s="202"/>
      <c r="D36" s="119"/>
      <c r="E36" s="119"/>
      <c r="F36" s="119"/>
      <c r="G36" s="119"/>
      <c r="H36" s="119"/>
    </row>
    <row r="37" spans="1:8" s="111" customFormat="1">
      <c r="A37" s="120" t="s">
        <v>11</v>
      </c>
    </row>
    <row r="38" spans="1:8" s="111" customFormat="1" ht="25.5">
      <c r="A38" s="111" t="s">
        <v>10</v>
      </c>
      <c r="F38" s="265" t="s">
        <v>2894</v>
      </c>
      <c r="G38" s="266"/>
      <c r="H38" s="267"/>
    </row>
    <row r="39" spans="1:8" s="111" customFormat="1"/>
    <row r="40" spans="1:8" s="111" customFormat="1">
      <c r="A40" s="126"/>
    </row>
    <row r="41" spans="1:8">
      <c r="A41" s="111"/>
      <c r="B41" s="111"/>
      <c r="C41" s="111"/>
      <c r="D41" s="121"/>
      <c r="E41" s="121"/>
      <c r="F41" s="111"/>
      <c r="G41" s="111"/>
      <c r="H41" s="111"/>
    </row>
    <row r="42" spans="1:8">
      <c r="A42" s="122"/>
      <c r="B42" s="122"/>
      <c r="C42" s="433"/>
      <c r="D42" s="111"/>
      <c r="E42" s="111"/>
      <c r="F42" s="111"/>
      <c r="G42" s="111"/>
      <c r="H42" s="111"/>
    </row>
    <row r="43" spans="1:8">
      <c r="A43" s="111"/>
      <c r="B43" s="111"/>
      <c r="C43" s="111"/>
      <c r="D43" s="111"/>
      <c r="E43" s="111"/>
      <c r="F43" s="111"/>
      <c r="G43" s="111"/>
      <c r="H43" s="111"/>
    </row>
    <row r="44" spans="1:8">
      <c r="A44" s="123" t="s">
        <v>8</v>
      </c>
      <c r="B44" s="111"/>
      <c r="C44" s="111"/>
      <c r="D44" s="123" t="s">
        <v>8</v>
      </c>
      <c r="E44" s="111"/>
      <c r="F44" s="123" t="s">
        <v>7</v>
      </c>
      <c r="G44" s="111"/>
      <c r="H44" s="124"/>
    </row>
    <row r="45" spans="1:8">
      <c r="A45" s="111"/>
      <c r="B45" s="111"/>
      <c r="C45" s="111"/>
      <c r="D45" s="111"/>
      <c r="E45" s="111"/>
      <c r="F45" s="111"/>
      <c r="G45" s="111"/>
      <c r="H45" s="111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22"/>
      <c r="B48" s="122"/>
      <c r="C48" s="433"/>
      <c r="D48" s="122"/>
      <c r="E48" s="111"/>
      <c r="F48" s="122"/>
      <c r="G48" s="122"/>
      <c r="H48" s="122"/>
    </row>
    <row r="49" spans="1:8" s="3" customFormat="1" ht="17.100000000000001" customHeight="1">
      <c r="A49" s="151" t="s">
        <v>2948</v>
      </c>
      <c r="B49" s="125"/>
      <c r="C49" s="125"/>
      <c r="D49" s="151" t="s">
        <v>103</v>
      </c>
      <c r="E49" s="126"/>
      <c r="F49" s="126" t="s">
        <v>3</v>
      </c>
      <c r="G49" s="126"/>
      <c r="H49" s="126"/>
    </row>
    <row r="50" spans="1:8">
      <c r="A50" s="111"/>
      <c r="B50" s="111"/>
      <c r="C50" s="111"/>
      <c r="D50" s="111"/>
      <c r="E50" s="111"/>
      <c r="F50" s="111" t="s">
        <v>2</v>
      </c>
      <c r="G50" s="111"/>
      <c r="H50" s="111"/>
    </row>
    <row r="51" spans="1:8">
      <c r="A51" s="275"/>
      <c r="B51" s="13"/>
      <c r="C51" s="13"/>
      <c r="D51" s="13"/>
      <c r="E51" s="13"/>
      <c r="F51" s="13"/>
      <c r="G51" s="13"/>
      <c r="H51" s="13"/>
    </row>
    <row r="52" spans="1:8">
      <c r="A52" s="13"/>
      <c r="B52" s="13"/>
      <c r="C52" s="13"/>
      <c r="D52" s="13"/>
      <c r="E52" s="13"/>
      <c r="F52" s="2" t="s">
        <v>1</v>
      </c>
      <c r="G52" s="13"/>
      <c r="H52" s="13"/>
    </row>
    <row r="53" spans="1:8">
      <c r="A53" s="13"/>
      <c r="B53" s="13"/>
      <c r="C53" s="13"/>
      <c r="D53" s="13"/>
      <c r="E53" s="13"/>
      <c r="F53" s="2" t="s">
        <v>0</v>
      </c>
      <c r="G53" s="13"/>
      <c r="H53" s="1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4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1-000000000000}">
  <sheetPr codeName="Sheet180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42578125" style="111" customWidth="1"/>
    <col min="2" max="2" width="12.42578125" style="111" customWidth="1"/>
    <col min="3" max="3" width="23" style="111" customWidth="1"/>
    <col min="4" max="4" width="12.7109375" style="111" customWidth="1"/>
    <col min="5" max="5" width="10.85546875" style="111" customWidth="1"/>
    <col min="6" max="6" width="12.855468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1445</v>
      </c>
    </row>
    <row r="10" spans="1:6">
      <c r="A10" s="111" t="s">
        <v>1447</v>
      </c>
      <c r="D10" s="112" t="s">
        <v>1162</v>
      </c>
      <c r="E10" s="166" t="s">
        <v>1444</v>
      </c>
    </row>
    <row r="11" spans="1:6">
      <c r="A11" s="111" t="s">
        <v>1448</v>
      </c>
      <c r="D11" s="112" t="s">
        <v>1163</v>
      </c>
      <c r="E11" s="112" t="s">
        <v>1094</v>
      </c>
    </row>
    <row r="12" spans="1:6">
      <c r="D12" s="112" t="s">
        <v>1169</v>
      </c>
      <c r="E12" s="112" t="s">
        <v>1446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A18" s="153"/>
      <c r="C18" s="2" t="s">
        <v>1450</v>
      </c>
    </row>
    <row r="19" spans="1:6">
      <c r="B19" s="155"/>
    </row>
    <row r="20" spans="1:6">
      <c r="A20" s="152" t="s">
        <v>1449</v>
      </c>
      <c r="C20" s="111" t="s">
        <v>1451</v>
      </c>
      <c r="F20" s="111">
        <v>4000</v>
      </c>
    </row>
    <row r="21" spans="1:6">
      <c r="A21" s="154"/>
    </row>
    <row r="22" spans="1:6">
      <c r="A22" s="154"/>
      <c r="C22" s="111" t="s">
        <v>1452</v>
      </c>
      <c r="F22" s="111">
        <f>F20*6%</f>
        <v>240</v>
      </c>
    </row>
    <row r="23" spans="1:6">
      <c r="A23" s="121"/>
    </row>
    <row r="24" spans="1:6">
      <c r="A24" s="121"/>
    </row>
    <row r="25" spans="1:6">
      <c r="A25" s="121"/>
    </row>
    <row r="26" spans="1:6">
      <c r="A26" s="154"/>
    </row>
    <row r="27" spans="1:6">
      <c r="A27" s="154"/>
    </row>
    <row r="28" spans="1:6">
      <c r="A28" s="153"/>
    </row>
    <row r="29" spans="1:6">
      <c r="A29" s="153"/>
    </row>
    <row r="30" spans="1:6">
      <c r="A30" s="153"/>
    </row>
    <row r="31" spans="1:6">
      <c r="A31" s="153"/>
    </row>
    <row r="32" spans="1:6">
      <c r="A32" s="153"/>
    </row>
    <row r="33" spans="1:6" ht="13.5" thickBot="1">
      <c r="A33" s="153"/>
      <c r="F33" s="117">
        <f>SUM(F20:F32)</f>
        <v>4240</v>
      </c>
    </row>
    <row r="34" spans="1:6" ht="13.5" thickTop="1">
      <c r="A34" s="153"/>
    </row>
    <row r="35" spans="1:6" ht="20.100000000000001" customHeight="1">
      <c r="A35" s="118" t="s">
        <v>204</v>
      </c>
      <c r="B35" s="118" t="s">
        <v>1453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4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1-000000000000}">
  <sheetPr codeName="Sheet181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1432</v>
      </c>
      <c r="F9" s="111"/>
    </row>
    <row r="10" spans="1:6">
      <c r="A10" s="111" t="s">
        <v>1434</v>
      </c>
      <c r="B10" s="111"/>
      <c r="C10" s="111"/>
      <c r="D10" s="112" t="s">
        <v>1162</v>
      </c>
      <c r="E10" s="112" t="s">
        <v>1431</v>
      </c>
      <c r="F10" s="111"/>
    </row>
    <row r="11" spans="1:6">
      <c r="A11" s="111" t="s">
        <v>1435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1436</v>
      </c>
      <c r="B12" s="111"/>
      <c r="C12" s="111"/>
      <c r="D12" s="112" t="s">
        <v>1135</v>
      </c>
      <c r="E12" s="112" t="s">
        <v>1433</v>
      </c>
      <c r="F12" s="111"/>
    </row>
    <row r="13" spans="1:6">
      <c r="A13" s="111" t="s">
        <v>1413</v>
      </c>
      <c r="B13" s="111"/>
      <c r="C13" s="111"/>
      <c r="D13" s="111"/>
      <c r="E13" s="111"/>
      <c r="F13" s="111"/>
    </row>
    <row r="14" spans="1:6">
      <c r="A14" s="111" t="s">
        <v>1437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168" t="s">
        <v>1438</v>
      </c>
      <c r="D18" s="111"/>
      <c r="E18" s="111"/>
      <c r="F18" s="111"/>
    </row>
    <row r="19" spans="1:6">
      <c r="A19" s="116"/>
      <c r="B19" s="116"/>
      <c r="C19" s="2" t="s">
        <v>1439</v>
      </c>
      <c r="D19" s="111"/>
      <c r="E19" s="111"/>
      <c r="F19" s="111"/>
    </row>
    <row r="21" spans="1:6">
      <c r="A21" s="116" t="s">
        <v>1440</v>
      </c>
      <c r="B21" s="116" t="s">
        <v>1441</v>
      </c>
      <c r="C21" s="111" t="s">
        <v>1442</v>
      </c>
      <c r="D21" s="111"/>
      <c r="E21" s="111"/>
      <c r="F21" s="111">
        <v>600</v>
      </c>
    </row>
    <row r="22" spans="1:6">
      <c r="A22" s="116"/>
      <c r="B22" s="120"/>
      <c r="C22" s="111" t="s">
        <v>1443</v>
      </c>
      <c r="D22" s="111"/>
      <c r="E22" s="111"/>
      <c r="F22" s="111"/>
    </row>
    <row r="23" spans="1:6">
      <c r="A23" s="116"/>
      <c r="B23" s="120"/>
      <c r="C23" s="111"/>
      <c r="D23" s="111"/>
      <c r="E23" s="111"/>
      <c r="F23" s="111"/>
    </row>
    <row r="24" spans="1:6">
      <c r="A24" s="116"/>
      <c r="B24" s="120"/>
      <c r="C24" s="111"/>
      <c r="D24" s="111"/>
      <c r="E24" s="111"/>
      <c r="F24" s="111"/>
    </row>
    <row r="25" spans="1:6">
      <c r="A25" s="116"/>
      <c r="B25" s="120"/>
      <c r="C25" s="111"/>
      <c r="D25" s="111"/>
      <c r="E25" s="111"/>
      <c r="F25" s="111"/>
    </row>
    <row r="26" spans="1:6">
      <c r="A26" s="116"/>
      <c r="B26" s="120"/>
      <c r="C26" s="111"/>
      <c r="D26" s="111"/>
      <c r="E26" s="111"/>
      <c r="F26" s="111"/>
    </row>
    <row r="27" spans="1:6">
      <c r="A27" s="116"/>
      <c r="B27" s="120"/>
      <c r="C27" s="111"/>
      <c r="D27" s="111"/>
      <c r="E27" s="111"/>
      <c r="F27" s="111"/>
    </row>
    <row r="28" spans="1:6">
      <c r="A28" s="116"/>
      <c r="B28" s="120"/>
      <c r="C28" s="111"/>
      <c r="D28" s="111"/>
      <c r="E28" s="111"/>
      <c r="F28" s="111"/>
    </row>
    <row r="29" spans="1:6">
      <c r="A29" s="116"/>
      <c r="B29" s="120"/>
      <c r="C29" s="111"/>
      <c r="D29" s="111"/>
      <c r="E29" s="111"/>
      <c r="F29" s="111"/>
    </row>
    <row r="30" spans="1:6">
      <c r="A30" s="116"/>
      <c r="B30" s="120"/>
      <c r="C30" s="111"/>
      <c r="D30" s="111"/>
      <c r="E30" s="111"/>
      <c r="F30" s="111"/>
    </row>
    <row r="31" spans="1:6">
      <c r="A31" s="116"/>
      <c r="B31" s="120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600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1366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B42" s="111"/>
      <c r="C42" s="111"/>
      <c r="D42" s="111"/>
      <c r="E42" s="111"/>
      <c r="F42" s="111"/>
    </row>
    <row r="43" spans="1:6">
      <c r="A43" s="123" t="s">
        <v>8</v>
      </c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1-000000000000}">
  <sheetPr codeName="Sheet136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28515625" style="111" customWidth="1"/>
    <col min="2" max="2" width="14.42578125" style="111" customWidth="1"/>
    <col min="3" max="3" width="22.42578125" style="111" customWidth="1"/>
    <col min="4" max="4" width="13.140625" style="111" customWidth="1"/>
    <col min="5" max="5" width="8.855468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2049</v>
      </c>
    </row>
    <row r="10" spans="1:6">
      <c r="A10" s="111" t="s">
        <v>1391</v>
      </c>
      <c r="D10" s="112" t="s">
        <v>1180</v>
      </c>
      <c r="E10" s="123" t="s">
        <v>2022</v>
      </c>
    </row>
    <row r="11" spans="1:6">
      <c r="A11" s="111" t="s">
        <v>1392</v>
      </c>
      <c r="D11" s="112" t="s">
        <v>1181</v>
      </c>
      <c r="E11" s="112" t="s">
        <v>2023</v>
      </c>
    </row>
    <row r="12" spans="1:6">
      <c r="A12" s="111" t="s">
        <v>1393</v>
      </c>
      <c r="D12" s="112" t="s">
        <v>1182</v>
      </c>
      <c r="E12" s="112" t="s">
        <v>2050</v>
      </c>
    </row>
    <row r="13" spans="1:6">
      <c r="A13" s="111" t="s">
        <v>1394</v>
      </c>
    </row>
    <row r="14" spans="1:6">
      <c r="A14" s="111" t="s">
        <v>1395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8" spans="1:6">
      <c r="A18" s="148"/>
      <c r="C18" s="2" t="s">
        <v>1992</v>
      </c>
    </row>
    <row r="19" spans="1:6">
      <c r="A19" s="161"/>
      <c r="B19" s="116"/>
    </row>
    <row r="20" spans="1:6">
      <c r="A20" s="161" t="s">
        <v>2031</v>
      </c>
      <c r="B20" s="116" t="s">
        <v>2051</v>
      </c>
      <c r="C20" s="111" t="s">
        <v>2052</v>
      </c>
      <c r="F20" s="111">
        <v>85</v>
      </c>
    </row>
    <row r="21" spans="1:6">
      <c r="A21" s="112"/>
      <c r="B21" s="161"/>
      <c r="F21" s="149"/>
    </row>
    <row r="22" spans="1:6">
      <c r="A22" s="148"/>
      <c r="C22" s="111" t="s">
        <v>2053</v>
      </c>
      <c r="F22" s="149">
        <v>200</v>
      </c>
    </row>
    <row r="23" spans="1:6">
      <c r="A23" s="148"/>
      <c r="B23" s="157"/>
      <c r="F23" s="149"/>
    </row>
    <row r="24" spans="1:6">
      <c r="A24" s="148"/>
      <c r="B24" s="157"/>
      <c r="F24" s="149"/>
    </row>
    <row r="25" spans="1:6">
      <c r="A25" s="148"/>
      <c r="B25" s="157"/>
      <c r="F25" s="149"/>
    </row>
    <row r="26" spans="1:6">
      <c r="A26" s="148"/>
      <c r="B26" s="120"/>
    </row>
    <row r="27" spans="1:6">
      <c r="A27" s="148"/>
    </row>
    <row r="28" spans="1:6">
      <c r="A28" s="148"/>
    </row>
    <row r="33" spans="1:6" ht="13.5" thickBot="1">
      <c r="F33" s="127">
        <f>SUM(F20:F32)</f>
        <v>285</v>
      </c>
    </row>
    <row r="34" spans="1:6" ht="13.5" thickTop="1"/>
    <row r="35" spans="1:6" ht="20.100000000000001" customHeight="1">
      <c r="A35" s="118" t="s">
        <v>204</v>
      </c>
      <c r="B35" s="118" t="s">
        <v>2054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1-000000000000}">
  <sheetPr codeName="Sheet137">
    <pageSetUpPr fitToPage="1"/>
  </sheetPr>
  <dimension ref="A1:F53"/>
  <sheetViews>
    <sheetView zoomScaleSheetLayoutView="100" workbookViewId="0">
      <selection activeCell="G9" sqref="G9:G13"/>
    </sheetView>
  </sheetViews>
  <sheetFormatPr defaultRowHeight="12.75"/>
  <cols>
    <col min="1" max="1" width="15.85546875" style="111" customWidth="1"/>
    <col min="2" max="2" width="15" style="111" customWidth="1"/>
    <col min="3" max="3" width="23" style="111" customWidth="1"/>
    <col min="4" max="4" width="12" style="111" customWidth="1"/>
    <col min="5" max="5" width="8.7109375" style="111" customWidth="1"/>
    <col min="6" max="6" width="12.7109375" style="111" customWidth="1"/>
    <col min="7" max="16384" width="9.140625" style="111"/>
  </cols>
  <sheetData>
    <row r="1" spans="1:6">
      <c r="A1" s="530" t="s">
        <v>26</v>
      </c>
      <c r="B1" s="530"/>
      <c r="C1" s="530"/>
      <c r="D1" s="530"/>
      <c r="E1" s="530"/>
      <c r="F1" s="530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1123</v>
      </c>
      <c r="E9" s="111" t="s">
        <v>4669</v>
      </c>
    </row>
    <row r="10" spans="1:6">
      <c r="A10" s="111" t="s">
        <v>1321</v>
      </c>
      <c r="D10" s="112" t="s">
        <v>1124</v>
      </c>
      <c r="E10" s="112" t="s">
        <v>4668</v>
      </c>
    </row>
    <row r="11" spans="1:6">
      <c r="A11" s="111" t="s">
        <v>1322</v>
      </c>
      <c r="D11" s="112" t="s">
        <v>1125</v>
      </c>
      <c r="E11" s="112" t="s">
        <v>1094</v>
      </c>
    </row>
    <row r="12" spans="1:6">
      <c r="A12" s="111" t="s">
        <v>1322</v>
      </c>
      <c r="D12" s="112" t="s">
        <v>1126</v>
      </c>
      <c r="E12" s="120" t="s">
        <v>4670</v>
      </c>
    </row>
    <row r="13" spans="1:6">
      <c r="A13" s="111" t="s">
        <v>1323</v>
      </c>
      <c r="D13" s="112"/>
      <c r="E13" s="112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4671</v>
      </c>
    </row>
    <row r="19" spans="1:6">
      <c r="C19" s="2" t="s">
        <v>4672</v>
      </c>
    </row>
    <row r="20" spans="1:6">
      <c r="A20" s="116"/>
      <c r="B20" s="121"/>
    </row>
    <row r="21" spans="1:6">
      <c r="A21" s="116" t="s">
        <v>4673</v>
      </c>
      <c r="B21" s="116" t="s">
        <v>4674</v>
      </c>
      <c r="C21" s="111" t="s">
        <v>4675</v>
      </c>
      <c r="F21" s="111">
        <f>860*2</f>
        <v>1720</v>
      </c>
    </row>
    <row r="22" spans="1:6">
      <c r="A22" s="161"/>
      <c r="B22" s="121"/>
      <c r="C22" s="111" t="s">
        <v>4490</v>
      </c>
      <c r="F22" s="111">
        <f>F21*10%</f>
        <v>172</v>
      </c>
    </row>
    <row r="23" spans="1:6">
      <c r="A23" s="161"/>
      <c r="B23" s="121"/>
      <c r="C23" s="111" t="s">
        <v>1814</v>
      </c>
      <c r="F23" s="111">
        <f>SUM(F21+F22)*6%</f>
        <v>113.52</v>
      </c>
    </row>
    <row r="24" spans="1:6">
      <c r="B24" s="116"/>
      <c r="C24" s="111" t="s">
        <v>4676</v>
      </c>
      <c r="F24" s="111">
        <v>20</v>
      </c>
    </row>
    <row r="25" spans="1:6">
      <c r="B25" s="121"/>
      <c r="C25" s="111" t="s">
        <v>4677</v>
      </c>
      <c r="F25" s="111">
        <v>6</v>
      </c>
    </row>
    <row r="27" spans="1:6">
      <c r="A27" s="161"/>
      <c r="B27" s="121"/>
    </row>
    <row r="29" spans="1:6">
      <c r="B29" s="116"/>
    </row>
    <row r="30" spans="1:6">
      <c r="B30" s="116"/>
    </row>
    <row r="31" spans="1:6">
      <c r="B31" s="120"/>
    </row>
    <row r="32" spans="1:6">
      <c r="B32" s="120"/>
    </row>
    <row r="33" spans="1:6">
      <c r="B33" s="120"/>
      <c r="F33" s="122"/>
    </row>
    <row r="34" spans="1:6" ht="13.5" thickBot="1">
      <c r="F34" s="315">
        <f>SUM(F20:F33)</f>
        <v>2031.52</v>
      </c>
    </row>
    <row r="35" spans="1:6" ht="13.5" thickTop="1"/>
    <row r="36" spans="1:6" ht="20.100000000000001" customHeight="1">
      <c r="A36" s="118" t="s">
        <v>204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Two Thousand Thirty-One and 52/100 -----------</v>
      </c>
      <c r="C36" s="128"/>
      <c r="D36" s="119"/>
      <c r="E36" s="119"/>
      <c r="F36" s="119"/>
    </row>
    <row r="37" spans="1:6">
      <c r="A37" s="120" t="s">
        <v>11</v>
      </c>
    </row>
    <row r="38" spans="1:6">
      <c r="A38" s="111" t="s">
        <v>10</v>
      </c>
    </row>
    <row r="39" spans="1:6" ht="25.5">
      <c r="A39" s="126"/>
      <c r="D39" s="265" t="s">
        <v>2894</v>
      </c>
      <c r="E39" s="266"/>
      <c r="F39" s="267"/>
    </row>
    <row r="41" spans="1:6">
      <c r="C41" s="121"/>
    </row>
    <row r="42" spans="1:6">
      <c r="A42" s="122"/>
      <c r="B42" s="122"/>
    </row>
    <row r="44" spans="1:6">
      <c r="A44" s="123" t="s">
        <v>8</v>
      </c>
      <c r="D44" s="123" t="s">
        <v>7</v>
      </c>
      <c r="F44" s="124"/>
    </row>
    <row r="48" spans="1:6">
      <c r="A48" s="122"/>
      <c r="B48" s="122"/>
      <c r="D48" s="122"/>
      <c r="E48" s="122"/>
      <c r="F48" s="122"/>
    </row>
    <row r="49" spans="1:4" s="126" customFormat="1" ht="17.100000000000001" customHeight="1">
      <c r="A49" s="151" t="s">
        <v>2948</v>
      </c>
      <c r="B49" s="125"/>
      <c r="D49" s="126" t="s">
        <v>3</v>
      </c>
    </row>
    <row r="50" spans="1:4">
      <c r="A50" s="151"/>
      <c r="D50" s="111" t="s">
        <v>2</v>
      </c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1-000000000000}">
  <sheetPr codeName="Sheet138">
    <pageSetUpPr fitToPage="1"/>
  </sheetPr>
  <dimension ref="A1:F53"/>
  <sheetViews>
    <sheetView workbookViewId="0">
      <selection activeCell="G9" sqref="G9:G13"/>
    </sheetView>
  </sheetViews>
  <sheetFormatPr defaultRowHeight="12.75"/>
  <cols>
    <col min="1" max="1" width="16.28515625" style="131" customWidth="1"/>
    <col min="2" max="2" width="15.28515625" style="131" customWidth="1"/>
    <col min="3" max="3" width="21.140625" style="131" customWidth="1"/>
    <col min="4" max="4" width="13.140625" style="131" customWidth="1"/>
    <col min="5" max="5" width="9.140625" style="131" customWidth="1"/>
    <col min="6" max="6" width="12.7109375" style="131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1481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1127</v>
      </c>
      <c r="E9" s="111" t="s">
        <v>2265</v>
      </c>
    </row>
    <row r="10" spans="1:6">
      <c r="A10" s="131" t="s">
        <v>1272</v>
      </c>
      <c r="D10" s="132" t="s">
        <v>1162</v>
      </c>
      <c r="E10" s="123" t="s">
        <v>2266</v>
      </c>
    </row>
    <row r="11" spans="1:6">
      <c r="A11" s="131" t="s">
        <v>1273</v>
      </c>
      <c r="D11" s="132" t="s">
        <v>1163</v>
      </c>
      <c r="E11" s="112" t="s">
        <v>1094</v>
      </c>
    </row>
    <row r="12" spans="1:6">
      <c r="A12" s="131" t="s">
        <v>1274</v>
      </c>
      <c r="D12" s="132" t="s">
        <v>1135</v>
      </c>
      <c r="E12" s="112" t="s">
        <v>1270</v>
      </c>
    </row>
    <row r="16" spans="1:6" s="95" customFormat="1" ht="20.100000000000001" customHeight="1">
      <c r="A16" s="90" t="s">
        <v>15</v>
      </c>
      <c r="B16" s="90"/>
      <c r="C16" s="92" t="s">
        <v>14</v>
      </c>
      <c r="D16" s="90"/>
      <c r="E16" s="93"/>
      <c r="F16" s="94" t="s">
        <v>13</v>
      </c>
    </row>
    <row r="18" spans="1:6">
      <c r="A18" s="162"/>
      <c r="C18" s="110" t="s">
        <v>1812</v>
      </c>
    </row>
    <row r="19" spans="1:6">
      <c r="C19" s="110"/>
      <c r="F19" s="149"/>
    </row>
    <row r="20" spans="1:6">
      <c r="A20" s="158" t="s">
        <v>2267</v>
      </c>
      <c r="B20" s="158" t="s">
        <v>2268</v>
      </c>
      <c r="C20" s="131" t="s">
        <v>2269</v>
      </c>
      <c r="F20" s="149">
        <f>42265*2.5126</f>
        <v>106195.039</v>
      </c>
    </row>
    <row r="21" spans="1:6">
      <c r="A21" s="163"/>
      <c r="B21" s="141"/>
      <c r="F21" s="149"/>
    </row>
    <row r="22" spans="1:6">
      <c r="A22" s="158" t="s">
        <v>2267</v>
      </c>
      <c r="B22" s="158" t="s">
        <v>2270</v>
      </c>
      <c r="C22" s="131" t="s">
        <v>2269</v>
      </c>
      <c r="F22" s="149">
        <f>81320*2.5126</f>
        <v>204324.63199999998</v>
      </c>
    </row>
    <row r="23" spans="1:6">
      <c r="A23" s="165"/>
      <c r="B23" s="158"/>
      <c r="F23" s="149"/>
    </row>
    <row r="24" spans="1:6">
      <c r="A24" s="158" t="s">
        <v>2267</v>
      </c>
      <c r="B24" s="158" t="s">
        <v>2271</v>
      </c>
      <c r="C24" s="131" t="s">
        <v>2272</v>
      </c>
      <c r="F24" s="131">
        <f>111857.8*2.5126</f>
        <v>281053.90827999997</v>
      </c>
    </row>
    <row r="25" spans="1:6">
      <c r="A25" s="163"/>
    </row>
    <row r="26" spans="1:6">
      <c r="A26" s="158" t="s">
        <v>2267</v>
      </c>
      <c r="B26" s="158" t="s">
        <v>2273</v>
      </c>
      <c r="C26" s="131" t="s">
        <v>2269</v>
      </c>
      <c r="F26" s="131">
        <f>1605*2.5126</f>
        <v>4032.723</v>
      </c>
    </row>
    <row r="27" spans="1:6">
      <c r="A27" s="163"/>
      <c r="F27" s="149"/>
    </row>
    <row r="28" spans="1:6">
      <c r="A28" s="165"/>
      <c r="B28" s="158"/>
      <c r="C28" s="131" t="s">
        <v>1697</v>
      </c>
      <c r="F28" s="131">
        <v>10</v>
      </c>
    </row>
    <row r="29" spans="1:6">
      <c r="A29" s="162"/>
    </row>
    <row r="33" spans="1:6" ht="13.5" thickBot="1">
      <c r="F33" s="137">
        <f>SUM(F20:F32)</f>
        <v>595616.30227999995</v>
      </c>
    </row>
    <row r="34" spans="1:6" ht="14.25" thickTop="1" thickBot="1">
      <c r="F34" s="164">
        <f>SUM(F18:F33)</f>
        <v>1191232.6045599999</v>
      </c>
    </row>
    <row r="35" spans="1:6" ht="13.5" thickTop="1"/>
    <row r="36" spans="1:6" ht="20.100000000000001" customHeight="1">
      <c r="A36" s="138" t="s">
        <v>1133</v>
      </c>
      <c r="B36" s="138" t="s">
        <v>2274</v>
      </c>
      <c r="C36" s="139"/>
      <c r="D36" s="139"/>
      <c r="E36" s="139"/>
      <c r="F36" s="139"/>
    </row>
    <row r="37" spans="1:6">
      <c r="A37" s="140" t="s">
        <v>11</v>
      </c>
    </row>
    <row r="38" spans="1:6">
      <c r="A38" s="131" t="s">
        <v>10</v>
      </c>
    </row>
    <row r="39" spans="1:6" ht="25.5">
      <c r="A39" s="147"/>
      <c r="D39" s="265" t="s">
        <v>2894</v>
      </c>
      <c r="E39" s="266"/>
      <c r="F39" s="267"/>
    </row>
    <row r="41" spans="1:6">
      <c r="A41" s="131" t="s">
        <v>52</v>
      </c>
      <c r="C41" s="141"/>
    </row>
    <row r="42" spans="1:6">
      <c r="A42" s="142"/>
      <c r="B42" s="142"/>
    </row>
    <row r="44" spans="1:6">
      <c r="A44" s="143" t="s">
        <v>8</v>
      </c>
      <c r="D44" s="143" t="s">
        <v>7</v>
      </c>
      <c r="F44" s="144"/>
    </row>
    <row r="48" spans="1:6">
      <c r="A48" s="142" t="s">
        <v>51</v>
      </c>
      <c r="B48" s="142"/>
      <c r="D48" s="142"/>
      <c r="E48" s="142"/>
      <c r="F48" s="142"/>
    </row>
    <row r="49" spans="1:6" s="109" customFormat="1" ht="17.100000000000001" customHeight="1">
      <c r="A49" s="146" t="s">
        <v>4</v>
      </c>
      <c r="B49" s="146"/>
      <c r="C49" s="147"/>
      <c r="D49" s="147" t="s">
        <v>3</v>
      </c>
      <c r="E49" s="147"/>
      <c r="F49" s="147"/>
    </row>
    <row r="50" spans="1:6">
      <c r="A50" s="145" t="s">
        <v>2948</v>
      </c>
      <c r="D50" s="131" t="s">
        <v>2</v>
      </c>
    </row>
    <row r="52" spans="1:6">
      <c r="D52" s="110" t="s">
        <v>1</v>
      </c>
    </row>
    <row r="53" spans="1:6">
      <c r="D53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1-000000000000}">
  <sheetPr codeName="Sheet139">
    <pageSetUpPr fitToPage="1"/>
  </sheetPr>
  <dimension ref="A1:F53"/>
  <sheetViews>
    <sheetView workbookViewId="0">
      <selection activeCell="G9" sqref="G9:G13"/>
    </sheetView>
  </sheetViews>
  <sheetFormatPr defaultRowHeight="12.75"/>
  <cols>
    <col min="1" max="1" width="16.28515625" style="131" customWidth="1"/>
    <col min="2" max="2" width="15.28515625" style="131" customWidth="1"/>
    <col min="3" max="3" width="21.140625" style="131" customWidth="1"/>
    <col min="4" max="4" width="13.140625" style="131" customWidth="1"/>
    <col min="5" max="5" width="9.140625" style="131" customWidth="1"/>
    <col min="6" max="6" width="12.7109375" style="131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1481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1127</v>
      </c>
      <c r="E9" s="111" t="s">
        <v>1342</v>
      </c>
    </row>
    <row r="10" spans="1:6">
      <c r="A10" s="131" t="s">
        <v>1344</v>
      </c>
      <c r="D10" s="132" t="s">
        <v>1162</v>
      </c>
      <c r="E10" s="112" t="s">
        <v>1332</v>
      </c>
    </row>
    <row r="11" spans="1:6">
      <c r="A11" s="131" t="s">
        <v>1345</v>
      </c>
      <c r="D11" s="132" t="s">
        <v>1163</v>
      </c>
      <c r="E11" s="112" t="s">
        <v>1094</v>
      </c>
    </row>
    <row r="12" spans="1:6">
      <c r="A12" s="131" t="s">
        <v>1346</v>
      </c>
      <c r="D12" s="132" t="s">
        <v>1135</v>
      </c>
      <c r="E12" s="112" t="s">
        <v>1343</v>
      </c>
    </row>
    <row r="13" spans="1:6">
      <c r="A13" s="131" t="s">
        <v>1347</v>
      </c>
    </row>
    <row r="16" spans="1:6" s="95" customFormat="1" ht="20.100000000000001" customHeight="1">
      <c r="A16" s="90" t="s">
        <v>1113</v>
      </c>
      <c r="B16" s="91" t="s">
        <v>1114</v>
      </c>
      <c r="C16" s="92" t="s">
        <v>14</v>
      </c>
      <c r="D16" s="90"/>
      <c r="E16" s="93"/>
      <c r="F16" s="94" t="s">
        <v>13</v>
      </c>
    </row>
    <row r="18" spans="1:6">
      <c r="A18" s="162"/>
      <c r="C18" s="110" t="s">
        <v>1348</v>
      </c>
    </row>
    <row r="19" spans="1:6">
      <c r="C19" s="110"/>
      <c r="F19" s="149"/>
    </row>
    <row r="20" spans="1:6">
      <c r="A20" s="158" t="s">
        <v>1338</v>
      </c>
      <c r="B20" s="158"/>
      <c r="C20" s="131" t="s">
        <v>1351</v>
      </c>
      <c r="F20" s="149">
        <v>350</v>
      </c>
    </row>
    <row r="21" spans="1:6">
      <c r="A21" s="163"/>
      <c r="B21" s="141"/>
      <c r="C21" s="131" t="s">
        <v>1350</v>
      </c>
      <c r="F21" s="149"/>
    </row>
    <row r="22" spans="1:6">
      <c r="F22" s="149"/>
    </row>
    <row r="23" spans="1:6">
      <c r="A23" s="165"/>
      <c r="B23" s="158"/>
      <c r="F23" s="149"/>
    </row>
    <row r="24" spans="1:6">
      <c r="A24" s="163"/>
    </row>
    <row r="25" spans="1:6">
      <c r="A25" s="162"/>
    </row>
    <row r="26" spans="1:6">
      <c r="A26" s="165"/>
      <c r="B26" s="158"/>
    </row>
    <row r="27" spans="1:6">
      <c r="A27" s="163"/>
      <c r="F27" s="149"/>
    </row>
    <row r="28" spans="1:6">
      <c r="A28" s="165"/>
      <c r="B28" s="158"/>
    </row>
    <row r="29" spans="1:6">
      <c r="A29" s="162"/>
    </row>
    <row r="33" spans="1:6" ht="13.5" thickBot="1">
      <c r="F33" s="137">
        <f>SUM(F20:F32)</f>
        <v>350</v>
      </c>
    </row>
    <row r="34" spans="1:6" ht="14.25" thickTop="1" thickBot="1">
      <c r="F34" s="164">
        <f>SUM(F18:F33)</f>
        <v>700</v>
      </c>
    </row>
    <row r="35" spans="1:6" ht="13.5" thickTop="1"/>
    <row r="36" spans="1:6" ht="20.100000000000001" customHeight="1">
      <c r="A36" s="138" t="s">
        <v>1133</v>
      </c>
      <c r="B36" s="138" t="s">
        <v>1349</v>
      </c>
      <c r="C36" s="139"/>
      <c r="D36" s="139"/>
      <c r="E36" s="139"/>
      <c r="F36" s="139"/>
    </row>
    <row r="37" spans="1:6">
      <c r="A37" s="140" t="s">
        <v>11</v>
      </c>
    </row>
    <row r="38" spans="1:6">
      <c r="A38" s="131" t="s">
        <v>10</v>
      </c>
    </row>
    <row r="39" spans="1:6" ht="25.5">
      <c r="A39" s="147"/>
      <c r="D39" s="265" t="s">
        <v>2894</v>
      </c>
      <c r="E39" s="266"/>
      <c r="F39" s="267"/>
    </row>
    <row r="41" spans="1:6">
      <c r="A41" s="131" t="s">
        <v>52</v>
      </c>
      <c r="C41" s="141"/>
    </row>
    <row r="42" spans="1:6">
      <c r="A42" s="142"/>
      <c r="B42" s="142"/>
    </row>
    <row r="44" spans="1:6">
      <c r="A44" s="143" t="s">
        <v>8</v>
      </c>
      <c r="D44" s="143" t="s">
        <v>7</v>
      </c>
      <c r="F44" s="144"/>
    </row>
    <row r="48" spans="1:6">
      <c r="A48" s="142" t="s">
        <v>51</v>
      </c>
      <c r="B48" s="142"/>
      <c r="D48" s="142"/>
      <c r="E48" s="142"/>
      <c r="F48" s="142"/>
    </row>
    <row r="49" spans="1:6" s="109" customFormat="1" ht="17.100000000000001" customHeight="1">
      <c r="A49" s="146" t="s">
        <v>4</v>
      </c>
      <c r="B49" s="146"/>
      <c r="C49" s="147"/>
      <c r="D49" s="147" t="s">
        <v>3</v>
      </c>
      <c r="E49" s="147"/>
      <c r="F49" s="147"/>
    </row>
    <row r="50" spans="1:6">
      <c r="A50" s="145" t="s">
        <v>2948</v>
      </c>
      <c r="D50" s="131" t="s">
        <v>2</v>
      </c>
    </row>
    <row r="52" spans="1:6">
      <c r="D52" s="110" t="s">
        <v>1</v>
      </c>
    </row>
    <row r="53" spans="1:6">
      <c r="D53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1-000000000000}">
  <sheetPr codeName="Sheet140">
    <pageSetUpPr fitToPage="1"/>
  </sheetPr>
  <dimension ref="A1:F56"/>
  <sheetViews>
    <sheetView topLeftCell="A7" workbookViewId="0">
      <selection activeCell="E9" sqref="E9:E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5153</v>
      </c>
      <c r="F9" s="111"/>
    </row>
    <row r="10" spans="1:6">
      <c r="A10" s="111" t="s">
        <v>1145</v>
      </c>
      <c r="B10" s="111"/>
      <c r="C10" s="111"/>
      <c r="D10" s="112" t="s">
        <v>1162</v>
      </c>
      <c r="E10" s="112" t="s">
        <v>5152</v>
      </c>
      <c r="F10" s="111"/>
    </row>
    <row r="11" spans="1:6">
      <c r="A11" s="111" t="s">
        <v>5155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1135</v>
      </c>
      <c r="E12" s="112" t="s">
        <v>5154</v>
      </c>
      <c r="F12" s="111"/>
    </row>
    <row r="13" spans="1:6">
      <c r="A13" s="111"/>
      <c r="B13" s="111"/>
      <c r="C13" s="111"/>
      <c r="D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2" t="s">
        <v>1330</v>
      </c>
      <c r="D18" s="111"/>
      <c r="E18" s="111"/>
      <c r="F18" s="111"/>
    </row>
    <row r="20" spans="1:6">
      <c r="B20" s="111"/>
      <c r="C20" s="2" t="s">
        <v>5156</v>
      </c>
      <c r="D20" s="111"/>
      <c r="E20" s="111"/>
      <c r="F20" s="111"/>
    </row>
    <row r="21" spans="1:6">
      <c r="A21" s="111" t="s">
        <v>2834</v>
      </c>
      <c r="B21" s="111"/>
      <c r="C21" s="111"/>
      <c r="D21" s="111"/>
      <c r="E21" s="111"/>
      <c r="F21" s="111"/>
    </row>
    <row r="22" spans="1:6">
      <c r="A22" s="120" t="s">
        <v>5125</v>
      </c>
      <c r="C22" s="111" t="s">
        <v>4667</v>
      </c>
      <c r="D22" s="111"/>
      <c r="E22" s="111"/>
      <c r="F22" s="111">
        <v>22.5</v>
      </c>
    </row>
    <row r="23" spans="1:6">
      <c r="C23" s="111" t="s">
        <v>5158</v>
      </c>
      <c r="D23" s="111"/>
      <c r="E23" s="111"/>
      <c r="F23" s="111">
        <f>194.78+268.52</f>
        <v>463.29999999999995</v>
      </c>
    </row>
    <row r="24" spans="1:6">
      <c r="A24" s="111"/>
      <c r="B24" s="111"/>
      <c r="C24" s="111" t="s">
        <v>1583</v>
      </c>
      <c r="D24" s="111"/>
      <c r="E24" s="111"/>
      <c r="F24" s="111">
        <v>20</v>
      </c>
    </row>
    <row r="25" spans="1:6">
      <c r="A25" s="111"/>
      <c r="B25" s="111"/>
      <c r="C25" s="111" t="s">
        <v>5157</v>
      </c>
      <c r="D25" s="111"/>
      <c r="E25" s="111"/>
      <c r="F25" s="111">
        <v>18</v>
      </c>
    </row>
    <row r="26" spans="1:6">
      <c r="A26" s="111"/>
      <c r="B26" s="111"/>
      <c r="C26" s="111" t="s">
        <v>2237</v>
      </c>
      <c r="D26" s="111"/>
      <c r="E26" s="111"/>
      <c r="F26" s="111">
        <v>252.7</v>
      </c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  <c r="F32" s="111"/>
    </row>
    <row r="33" spans="1:6">
      <c r="A33" s="111"/>
      <c r="B33" s="111"/>
      <c r="C33" s="111"/>
      <c r="D33" s="111"/>
      <c r="E33" s="111"/>
      <c r="F33" s="111"/>
    </row>
    <row r="34" spans="1:6">
      <c r="A34" s="111"/>
      <c r="B34" s="111"/>
      <c r="C34" s="111"/>
      <c r="D34" s="111"/>
      <c r="E34" s="111"/>
      <c r="F34" s="111"/>
    </row>
    <row r="35" spans="1:6" ht="13.5" thickBot="1">
      <c r="A35" s="111"/>
      <c r="B35" s="111"/>
      <c r="C35" s="111"/>
      <c r="D35" s="111"/>
      <c r="E35" s="111"/>
      <c r="F35" s="117">
        <f>SUM(F20:F34)</f>
        <v>776.5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Seven Hundred Seventy-Six and 50/100 -----------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A44" s="111"/>
      <c r="B44" s="111"/>
      <c r="C44" s="111"/>
      <c r="D44" s="111"/>
      <c r="E44" s="111"/>
      <c r="F44" s="111"/>
    </row>
    <row r="45" spans="1:6">
      <c r="A45" s="123" t="s">
        <v>8</v>
      </c>
      <c r="B45" s="111"/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1-000000000000}">
  <sheetPr codeName="Sheet141">
    <pageSetUpPr fitToPage="1"/>
  </sheetPr>
  <dimension ref="A1:F56"/>
  <sheetViews>
    <sheetView topLeftCell="A7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3394</v>
      </c>
      <c r="F9" s="111"/>
    </row>
    <row r="10" spans="1:6">
      <c r="A10" s="111" t="s">
        <v>1161</v>
      </c>
      <c r="B10" s="111"/>
      <c r="C10" s="111"/>
      <c r="D10" s="112" t="s">
        <v>1162</v>
      </c>
      <c r="E10" s="123" t="s">
        <v>3379</v>
      </c>
      <c r="F10" s="111"/>
    </row>
    <row r="11" spans="1:6">
      <c r="A11" s="111" t="s">
        <v>1157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1158</v>
      </c>
      <c r="B12" s="111"/>
      <c r="C12" s="111"/>
      <c r="D12" s="112" t="s">
        <v>1096</v>
      </c>
      <c r="E12" s="120" t="s">
        <v>3393</v>
      </c>
      <c r="F12" s="111"/>
    </row>
    <row r="13" spans="1:6">
      <c r="A13" s="111" t="s">
        <v>1159</v>
      </c>
      <c r="B13" s="111" t="s">
        <v>1160</v>
      </c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C18" s="2" t="s">
        <v>2788</v>
      </c>
    </row>
    <row r="20" spans="1:6">
      <c r="A20" s="116" t="s">
        <v>3388</v>
      </c>
      <c r="B20" s="121" t="s">
        <v>3395</v>
      </c>
      <c r="C20" s="111" t="s">
        <v>3396</v>
      </c>
      <c r="D20" s="111"/>
      <c r="E20" s="111"/>
      <c r="F20" s="111">
        <v>135</v>
      </c>
    </row>
    <row r="21" spans="1:6">
      <c r="A21" s="111"/>
      <c r="B21" s="111"/>
      <c r="C21" s="111"/>
      <c r="D21" s="111"/>
      <c r="E21" s="111"/>
      <c r="F21" s="111"/>
    </row>
    <row r="22" spans="1:6">
      <c r="A22" s="111"/>
      <c r="B22" s="111"/>
      <c r="C22" s="111" t="s">
        <v>1814</v>
      </c>
      <c r="D22" s="111"/>
      <c r="E22" s="111"/>
      <c r="F22" s="111">
        <f>SUM(F20:F21)*6%</f>
        <v>8.1</v>
      </c>
    </row>
    <row r="23" spans="1:6">
      <c r="A23" s="116"/>
      <c r="B23" s="121"/>
      <c r="C23" s="111"/>
      <c r="D23" s="111"/>
      <c r="E23" s="111"/>
      <c r="F23" s="111"/>
    </row>
    <row r="24" spans="1:6">
      <c r="A24" s="111"/>
      <c r="B24" s="111"/>
      <c r="C24" s="111"/>
      <c r="D24" s="111"/>
      <c r="E24" s="111"/>
      <c r="F24" s="111"/>
    </row>
    <row r="25" spans="1:6">
      <c r="A25" s="116"/>
      <c r="B25" s="116"/>
      <c r="C25" s="111"/>
      <c r="D25" s="111"/>
      <c r="E25" s="111"/>
      <c r="F25" s="111"/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  <c r="F32" s="111"/>
    </row>
    <row r="33" spans="1:6">
      <c r="A33" s="111"/>
      <c r="B33" s="111"/>
      <c r="C33" s="111"/>
      <c r="D33" s="111"/>
      <c r="E33" s="111"/>
      <c r="F33" s="111"/>
    </row>
    <row r="34" spans="1:6">
      <c r="A34" s="111"/>
      <c r="B34" s="111"/>
      <c r="C34" s="111"/>
      <c r="D34" s="111"/>
      <c r="E34" s="111"/>
    </row>
    <row r="35" spans="1:6" ht="13.5" thickBot="1">
      <c r="A35" s="111"/>
      <c r="B35" s="111"/>
      <c r="C35" s="111"/>
      <c r="D35" s="111"/>
      <c r="E35" s="111"/>
      <c r="F35" s="117">
        <f>SUM(F20:F34)</f>
        <v>143.1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Hundred Forty-Three and 10/100 -----------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A44" s="111"/>
      <c r="B44" s="111"/>
      <c r="C44" s="111"/>
      <c r="D44" s="111"/>
      <c r="E44" s="111"/>
      <c r="F44" s="111"/>
    </row>
    <row r="45" spans="1:6">
      <c r="A45" s="123" t="s">
        <v>8</v>
      </c>
      <c r="B45" s="111"/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4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1-000000000000}">
  <sheetPr codeName="Sheet23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537</v>
      </c>
    </row>
    <row r="10" spans="1:6">
      <c r="A10" s="1" t="s">
        <v>536</v>
      </c>
      <c r="D10" s="21" t="s">
        <v>21</v>
      </c>
      <c r="E10" s="21" t="s">
        <v>40</v>
      </c>
    </row>
    <row r="11" spans="1:6">
      <c r="A11" s="1" t="s">
        <v>535</v>
      </c>
      <c r="D11" s="21" t="s">
        <v>19</v>
      </c>
      <c r="E11" s="21" t="s">
        <v>18</v>
      </c>
    </row>
    <row r="12" spans="1:6">
      <c r="D12" s="21" t="s">
        <v>17</v>
      </c>
      <c r="E12" s="20" t="s">
        <v>534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0" spans="2:6">
      <c r="C20" s="1" t="s">
        <v>193</v>
      </c>
      <c r="F20" s="1">
        <v>2379.25</v>
      </c>
    </row>
    <row r="22" spans="2:6">
      <c r="C22" s="1" t="s">
        <v>39</v>
      </c>
      <c r="F22" s="7"/>
    </row>
    <row r="24" spans="2:6">
      <c r="B24" s="8" t="s">
        <v>36</v>
      </c>
      <c r="C24" s="1" t="s">
        <v>533</v>
      </c>
      <c r="F24" s="1">
        <v>192.3</v>
      </c>
    </row>
    <row r="25" spans="2:6">
      <c r="B25" s="8" t="s">
        <v>35</v>
      </c>
      <c r="C25" s="1" t="s">
        <v>532</v>
      </c>
      <c r="F25" s="1">
        <v>107.9</v>
      </c>
    </row>
    <row r="26" spans="2:6">
      <c r="B26" s="8" t="s">
        <v>33</v>
      </c>
      <c r="C26" s="1" t="s">
        <v>531</v>
      </c>
      <c r="F26" s="1">
        <v>50.88</v>
      </c>
    </row>
    <row r="33" spans="1:6" ht="13.5" thickBot="1">
      <c r="F33" s="12">
        <f>SUM(F20:F32)</f>
        <v>2730.3300000000004</v>
      </c>
    </row>
    <row r="34" spans="1:6" ht="13.5" thickTop="1"/>
    <row r="35" spans="1:6" ht="20.100000000000001" customHeight="1">
      <c r="A35" s="10" t="s">
        <v>530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471">
    <pageSetUpPr fitToPage="1"/>
  </sheetPr>
  <dimension ref="A1:H56"/>
  <sheetViews>
    <sheetView zoomScaleNormal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" style="1" customWidth="1"/>
    <col min="4" max="4" width="28.42578125" style="1" customWidth="1"/>
    <col min="5" max="5" width="0.71093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11" t="s">
        <v>4469</v>
      </c>
      <c r="H9" s="111"/>
    </row>
    <row r="10" spans="1:8">
      <c r="A10" s="111" t="s">
        <v>4190</v>
      </c>
      <c r="B10" s="111"/>
      <c r="C10" s="111"/>
      <c r="D10" s="111"/>
      <c r="E10" s="111"/>
      <c r="F10" s="112" t="s">
        <v>1162</v>
      </c>
      <c r="G10" s="111" t="s">
        <v>4468</v>
      </c>
      <c r="H10" s="111"/>
    </row>
    <row r="11" spans="1:8">
      <c r="A11" s="111" t="s">
        <v>4470</v>
      </c>
      <c r="B11" s="111"/>
      <c r="C11" s="111"/>
      <c r="D11" s="111"/>
      <c r="E11" s="111"/>
      <c r="F11" s="112" t="s">
        <v>1163</v>
      </c>
      <c r="G11" s="111" t="s">
        <v>1094</v>
      </c>
      <c r="H11" s="111"/>
    </row>
    <row r="12" spans="1:8">
      <c r="A12" s="111" t="s">
        <v>4471</v>
      </c>
      <c r="B12" s="111"/>
      <c r="C12" s="111"/>
      <c r="D12" s="111"/>
      <c r="E12" s="111"/>
      <c r="F12" s="112" t="s">
        <v>1135</v>
      </c>
      <c r="G12" s="120" t="s">
        <v>1270</v>
      </c>
      <c r="H12" s="111"/>
    </row>
    <row r="13" spans="1:8">
      <c r="A13" s="111" t="s">
        <v>4472</v>
      </c>
      <c r="B13" s="111"/>
      <c r="C13" s="111"/>
      <c r="D13" s="111"/>
      <c r="E13" s="111"/>
      <c r="F13" s="111"/>
      <c r="G13" s="13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2" t="s">
        <v>4473</v>
      </c>
      <c r="E18" s="2"/>
      <c r="F18" s="111"/>
      <c r="G18" s="111"/>
      <c r="H18" s="111"/>
    </row>
    <row r="19" spans="1:8">
      <c r="A19" s="116"/>
      <c r="B19" s="116"/>
      <c r="C19" s="116"/>
      <c r="D19" s="111"/>
      <c r="E19" s="111"/>
      <c r="F19" s="111"/>
      <c r="G19" s="111"/>
      <c r="H19" s="111"/>
    </row>
    <row r="20" spans="1:8">
      <c r="A20" s="116" t="s">
        <v>4399</v>
      </c>
      <c r="B20" s="116" t="s">
        <v>4474</v>
      </c>
      <c r="C20" s="116"/>
      <c r="D20" s="111" t="s">
        <v>4475</v>
      </c>
      <c r="E20" s="111"/>
      <c r="F20" s="111"/>
      <c r="G20" s="111"/>
      <c r="H20" s="111">
        <f>16746.72*3.1817</f>
        <v>53283.039024000005</v>
      </c>
    </row>
    <row r="21" spans="1:8">
      <c r="A21" s="111"/>
      <c r="B21" s="111"/>
      <c r="C21" s="111"/>
      <c r="D21" s="111" t="s">
        <v>4476</v>
      </c>
      <c r="E21" s="111"/>
      <c r="F21" s="111"/>
      <c r="G21" s="111"/>
      <c r="H21" s="111"/>
    </row>
    <row r="22" spans="1:8">
      <c r="A22" s="116"/>
      <c r="B22" s="116"/>
      <c r="C22" s="116"/>
      <c r="D22" s="111" t="s">
        <v>4477</v>
      </c>
      <c r="H22" s="111"/>
    </row>
    <row r="23" spans="1:8">
      <c r="B23" s="116"/>
      <c r="C23" s="116"/>
      <c r="D23" s="111"/>
      <c r="E23" s="111"/>
      <c r="F23" s="111"/>
      <c r="G23" s="111"/>
      <c r="H23" s="111"/>
    </row>
    <row r="24" spans="1:8">
      <c r="B24" s="116"/>
      <c r="C24" s="116"/>
      <c r="D24" s="111" t="s">
        <v>1697</v>
      </c>
      <c r="E24" s="111"/>
      <c r="F24" s="111"/>
      <c r="G24" s="111"/>
      <c r="H24" s="111">
        <v>10</v>
      </c>
    </row>
    <row r="25" spans="1:8">
      <c r="B25" s="116"/>
      <c r="C25" s="116"/>
      <c r="D25" s="111"/>
      <c r="E25" s="111"/>
      <c r="F25" s="111"/>
      <c r="G25" s="111"/>
      <c r="H25" s="111"/>
    </row>
    <row r="26" spans="1:8">
      <c r="A26" s="116"/>
      <c r="B26" s="116"/>
      <c r="C26" s="116"/>
      <c r="D26" s="111" t="s">
        <v>1814</v>
      </c>
      <c r="E26" s="111"/>
      <c r="F26" s="111"/>
      <c r="G26" s="111"/>
      <c r="H26" s="111">
        <v>0.6</v>
      </c>
    </row>
    <row r="27" spans="1:8">
      <c r="A27" s="116"/>
      <c r="B27" s="116"/>
      <c r="C27" s="116"/>
      <c r="D27" s="111"/>
      <c r="E27" s="111"/>
      <c r="F27" s="111"/>
      <c r="G27" s="111"/>
      <c r="H27" s="111"/>
    </row>
    <row r="28" spans="1:8">
      <c r="A28" s="111"/>
      <c r="B28" s="111"/>
      <c r="C28" s="111"/>
      <c r="D28" s="111"/>
      <c r="E28" s="111"/>
      <c r="F28" s="111"/>
      <c r="G28" s="111"/>
      <c r="H28" s="111"/>
    </row>
    <row r="29" spans="1:8">
      <c r="A29" s="116"/>
      <c r="B29" s="116"/>
      <c r="C29" s="116"/>
      <c r="D29" s="111"/>
      <c r="E29" s="111"/>
      <c r="F29" s="111"/>
      <c r="G29" s="111"/>
      <c r="H29" s="111"/>
    </row>
    <row r="30" spans="1:8">
      <c r="B30" s="116"/>
      <c r="C30" s="116"/>
      <c r="D30" s="111"/>
      <c r="E30" s="111"/>
      <c r="F30" s="111"/>
      <c r="G30" s="111"/>
      <c r="H30" s="111"/>
    </row>
    <row r="31" spans="1:8">
      <c r="A31" s="116"/>
      <c r="B31" s="116"/>
      <c r="C31" s="116"/>
      <c r="D31" s="111"/>
      <c r="E31" s="111"/>
      <c r="F31" s="111"/>
      <c r="G31" s="111"/>
      <c r="H31" s="111"/>
    </row>
    <row r="32" spans="1:8">
      <c r="C32" s="111"/>
      <c r="D32" s="111"/>
      <c r="E32" s="111"/>
      <c r="F32" s="111"/>
      <c r="G32" s="111"/>
      <c r="H32" s="111"/>
    </row>
    <row r="34" spans="1:8">
      <c r="A34" s="111"/>
      <c r="B34" s="111"/>
      <c r="C34" s="111"/>
      <c r="D34" s="111"/>
      <c r="E34" s="111"/>
      <c r="F34" s="111"/>
      <c r="G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53293.639024000004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Fifty-Three Thousand Two Hundred Ninety-Three and 64/100 -----------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4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1-000000000000}">
  <sheetPr codeName="Sheet24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546</v>
      </c>
    </row>
    <row r="10" spans="1:6">
      <c r="A10" s="1" t="s">
        <v>545</v>
      </c>
      <c r="D10" s="21" t="s">
        <v>21</v>
      </c>
      <c r="E10" s="21" t="s">
        <v>544</v>
      </c>
    </row>
    <row r="11" spans="1:6">
      <c r="D11" s="21" t="s">
        <v>19</v>
      </c>
      <c r="E11" s="21" t="s">
        <v>18</v>
      </c>
    </row>
    <row r="12" spans="1:6">
      <c r="D12" s="21" t="s">
        <v>17</v>
      </c>
      <c r="E12" s="21" t="s">
        <v>543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0" spans="2:6">
      <c r="C20" s="13"/>
    </row>
    <row r="21" spans="2:6">
      <c r="C21" s="13" t="s">
        <v>542</v>
      </c>
    </row>
    <row r="23" spans="2:6">
      <c r="C23" s="1" t="s">
        <v>541</v>
      </c>
    </row>
    <row r="25" spans="2:6">
      <c r="C25" s="1" t="s">
        <v>540</v>
      </c>
      <c r="F25" s="1">
        <v>170</v>
      </c>
    </row>
    <row r="26" spans="2:6">
      <c r="B26" s="8"/>
      <c r="C26" s="1" t="s">
        <v>539</v>
      </c>
    </row>
    <row r="27" spans="2:6">
      <c r="B27" s="8"/>
    </row>
    <row r="28" spans="2:6">
      <c r="B28" s="8"/>
    </row>
    <row r="33" spans="1:6" ht="13.5" thickBot="1">
      <c r="F33" s="12">
        <f>SUM(F20:F32)</f>
        <v>170</v>
      </c>
    </row>
    <row r="34" spans="1:6" ht="13.5" thickTop="1"/>
    <row r="35" spans="1:6" ht="20.100000000000001" customHeight="1">
      <c r="A35" s="10" t="s">
        <v>538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1-000000000000}">
  <sheetPr codeName="Sheet25">
    <pageSetUpPr fitToPage="1"/>
  </sheetPr>
  <dimension ref="A1:F52"/>
  <sheetViews>
    <sheetView topLeftCell="A22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554</v>
      </c>
    </row>
    <row r="10" spans="1:6">
      <c r="A10" s="1" t="s">
        <v>553</v>
      </c>
      <c r="D10" s="21" t="s">
        <v>21</v>
      </c>
      <c r="E10" s="21" t="s">
        <v>185</v>
      </c>
    </row>
    <row r="11" spans="1:6">
      <c r="D11" s="21" t="s">
        <v>19</v>
      </c>
      <c r="E11" s="21" t="s">
        <v>18</v>
      </c>
    </row>
    <row r="12" spans="1:6">
      <c r="D12" s="21" t="s">
        <v>17</v>
      </c>
      <c r="E12" s="20" t="s">
        <v>552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2" spans="3:6">
      <c r="C22" s="1" t="s">
        <v>551</v>
      </c>
    </row>
    <row r="23" spans="3:6">
      <c r="C23" s="1" t="s">
        <v>550</v>
      </c>
    </row>
    <row r="25" spans="3:6">
      <c r="C25" s="1" t="s">
        <v>549</v>
      </c>
      <c r="F25" s="1">
        <v>368.45</v>
      </c>
    </row>
    <row r="26" spans="3:6">
      <c r="C26" s="1" t="s">
        <v>548</v>
      </c>
      <c r="F26" s="1">
        <v>105.25</v>
      </c>
    </row>
    <row r="33" spans="1:6" ht="13.5" thickBot="1">
      <c r="F33" s="12">
        <f>SUM(F20:F32)</f>
        <v>473.7</v>
      </c>
    </row>
    <row r="34" spans="1:6" ht="13.5" thickTop="1"/>
    <row r="35" spans="1:6" ht="20.100000000000001" customHeight="1">
      <c r="A35" s="10" t="s">
        <v>547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1-000000000000}">
  <sheetPr codeName="Sheet26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560</v>
      </c>
    </row>
    <row r="10" spans="1:6">
      <c r="A10" s="1" t="s">
        <v>559</v>
      </c>
      <c r="D10" s="21" t="s">
        <v>21</v>
      </c>
      <c r="E10" s="21" t="s">
        <v>40</v>
      </c>
    </row>
    <row r="11" spans="1:6">
      <c r="A11" s="1" t="s">
        <v>558</v>
      </c>
      <c r="D11" s="21" t="s">
        <v>19</v>
      </c>
      <c r="E11" s="21" t="s">
        <v>18</v>
      </c>
    </row>
    <row r="12" spans="1:6">
      <c r="D12" s="21" t="s">
        <v>17</v>
      </c>
      <c r="E12" s="20" t="s">
        <v>557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0" spans="2:6">
      <c r="C20" s="1" t="s">
        <v>556</v>
      </c>
      <c r="F20" s="1">
        <v>766.46</v>
      </c>
    </row>
    <row r="22" spans="2:6">
      <c r="C22" s="1" t="s">
        <v>39</v>
      </c>
      <c r="F22" s="7" t="s">
        <v>38</v>
      </c>
    </row>
    <row r="24" spans="2:6">
      <c r="B24" s="8"/>
    </row>
    <row r="25" spans="2:6">
      <c r="B25" s="8"/>
    </row>
    <row r="26" spans="2:6">
      <c r="B26" s="8"/>
    </row>
    <row r="33" spans="1:6" ht="13.5" thickBot="1">
      <c r="F33" s="12">
        <f>SUM(F20:F32)</f>
        <v>766.46</v>
      </c>
    </row>
    <row r="34" spans="1:6" ht="13.5" thickTop="1"/>
    <row r="35" spans="1:6" ht="20.100000000000001" customHeight="1">
      <c r="A35" s="10" t="s">
        <v>555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1-000000000000}">
  <sheetPr codeName="Sheet2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566</v>
      </c>
    </row>
    <row r="10" spans="1:6">
      <c r="A10" s="1" t="s">
        <v>565</v>
      </c>
      <c r="D10" s="21" t="s">
        <v>21</v>
      </c>
      <c r="E10" s="21" t="s">
        <v>40</v>
      </c>
    </row>
    <row r="11" spans="1:6">
      <c r="A11" s="1" t="s">
        <v>564</v>
      </c>
      <c r="D11" s="21" t="s">
        <v>19</v>
      </c>
      <c r="E11" s="21" t="s">
        <v>18</v>
      </c>
    </row>
    <row r="12" spans="1:6">
      <c r="D12" s="21" t="s">
        <v>17</v>
      </c>
      <c r="E12" s="20" t="s">
        <v>563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0" spans="2:6">
      <c r="C20" s="1" t="s">
        <v>562</v>
      </c>
      <c r="F20" s="1">
        <v>211.01</v>
      </c>
    </row>
    <row r="22" spans="2:6">
      <c r="C22" s="1" t="s">
        <v>39</v>
      </c>
      <c r="F22" s="7" t="s">
        <v>38</v>
      </c>
    </row>
    <row r="24" spans="2:6">
      <c r="B24" s="8"/>
    </row>
    <row r="25" spans="2:6">
      <c r="B25" s="8"/>
    </row>
    <row r="26" spans="2:6">
      <c r="B26" s="8"/>
    </row>
    <row r="33" spans="1:6" ht="13.5" thickBot="1">
      <c r="F33" s="12">
        <f>SUM(F20:F32)</f>
        <v>211.01</v>
      </c>
    </row>
    <row r="34" spans="1:6" ht="13.5" thickTop="1"/>
    <row r="35" spans="1:6" ht="20.100000000000001" customHeight="1">
      <c r="A35" s="10" t="s">
        <v>561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1-000000000000}">
  <sheetPr codeName="Sheet32">
    <pageSetUpPr fitToPage="1"/>
  </sheetPr>
  <dimension ref="A1:Q58"/>
  <sheetViews>
    <sheetView topLeftCell="A34" zoomScaleNormal="100" workbookViewId="0">
      <selection activeCell="G9" sqref="G9:G13"/>
    </sheetView>
  </sheetViews>
  <sheetFormatPr defaultRowHeight="12.75"/>
  <cols>
    <col min="1" max="1" width="15.85546875" style="1" customWidth="1"/>
    <col min="2" max="2" width="17.140625" style="1" customWidth="1"/>
    <col min="3" max="3" width="0.85546875" style="1" customWidth="1"/>
    <col min="4" max="4" width="21" style="1" customWidth="1"/>
    <col min="5" max="5" width="0.85546875" style="1" customWidth="1"/>
    <col min="6" max="6" width="12.140625" style="1" customWidth="1"/>
    <col min="7" max="7" width="10.140625" style="1" customWidth="1"/>
    <col min="8" max="8" width="13.7109375" style="1" customWidth="1"/>
    <col min="9" max="16384" width="9.140625" style="1"/>
  </cols>
  <sheetData>
    <row r="1" spans="1:17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7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7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7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7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  <c r="I8" s="111"/>
    </row>
    <row r="9" spans="1:17">
      <c r="A9" s="111"/>
      <c r="B9" s="111"/>
      <c r="C9" s="111"/>
      <c r="D9" s="111"/>
      <c r="E9" s="111"/>
      <c r="F9" s="112" t="s">
        <v>1221</v>
      </c>
      <c r="G9" s="111" t="s">
        <v>6255</v>
      </c>
      <c r="H9" s="111"/>
      <c r="I9" s="111"/>
    </row>
    <row r="10" spans="1:17">
      <c r="A10" s="111" t="s">
        <v>571</v>
      </c>
      <c r="B10" s="111"/>
      <c r="C10" s="111"/>
      <c r="D10" s="111"/>
      <c r="E10" s="111"/>
      <c r="F10" s="112" t="s">
        <v>1124</v>
      </c>
      <c r="G10" s="132" t="s">
        <v>6230</v>
      </c>
      <c r="H10" s="111"/>
      <c r="I10" s="111"/>
    </row>
    <row r="11" spans="1:17">
      <c r="A11" s="111" t="s">
        <v>569</v>
      </c>
      <c r="B11" s="111"/>
      <c r="C11" s="111"/>
      <c r="D11" s="111"/>
      <c r="E11" s="111"/>
      <c r="F11" s="112" t="s">
        <v>1125</v>
      </c>
      <c r="G11" s="132" t="s">
        <v>1094</v>
      </c>
      <c r="H11" s="111"/>
      <c r="I11" s="111"/>
    </row>
    <row r="12" spans="1:17">
      <c r="A12" s="111" t="s">
        <v>568</v>
      </c>
      <c r="B12" s="111"/>
      <c r="C12" s="111"/>
      <c r="D12" s="111"/>
      <c r="E12" s="111"/>
      <c r="F12" s="112" t="s">
        <v>1126</v>
      </c>
      <c r="G12" s="120" t="s">
        <v>6256</v>
      </c>
      <c r="H12" s="111"/>
      <c r="I12" s="111"/>
    </row>
    <row r="13" spans="1:17">
      <c r="A13" s="111" t="s">
        <v>567</v>
      </c>
      <c r="B13" s="111"/>
      <c r="C13" s="111"/>
      <c r="D13" s="111"/>
      <c r="E13" s="111"/>
      <c r="F13" s="111"/>
      <c r="G13" s="111"/>
      <c r="H13" s="111"/>
      <c r="I13" s="111"/>
    </row>
    <row r="14" spans="1:17">
      <c r="A14" s="111"/>
      <c r="B14" s="111"/>
      <c r="C14" s="111"/>
      <c r="D14" s="111"/>
      <c r="E14" s="111"/>
      <c r="F14" s="111"/>
      <c r="G14" s="111"/>
      <c r="H14" s="111"/>
      <c r="I14" s="111"/>
    </row>
    <row r="15" spans="1:17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17" s="15" customFormat="1" ht="20.100000000000001" customHeight="1">
      <c r="A16" s="18" t="s">
        <v>15</v>
      </c>
      <c r="B16" s="18"/>
      <c r="C16" s="18"/>
      <c r="D16" s="19" t="s">
        <v>14</v>
      </c>
      <c r="E16" s="19"/>
      <c r="F16" s="18"/>
      <c r="G16" s="17"/>
      <c r="H16" s="16" t="s">
        <v>13</v>
      </c>
      <c r="L16" s="111" t="s">
        <v>4573</v>
      </c>
      <c r="M16" s="111"/>
      <c r="N16" s="111"/>
      <c r="O16" s="111"/>
      <c r="P16" s="111">
        <v>1391.86</v>
      </c>
      <c r="Q16" s="111"/>
    </row>
    <row r="17" spans="1:17">
      <c r="A17" s="111"/>
      <c r="B17" s="111"/>
      <c r="C17" s="111"/>
      <c r="D17" s="111"/>
      <c r="E17" s="111"/>
      <c r="F17" s="111"/>
      <c r="G17" s="111"/>
      <c r="H17" s="111"/>
      <c r="I17" s="111"/>
      <c r="L17" s="111" t="s">
        <v>4574</v>
      </c>
      <c r="M17" s="111"/>
      <c r="P17" s="111"/>
      <c r="Q17" s="111"/>
    </row>
    <row r="18" spans="1:17">
      <c r="D18" s="2" t="s">
        <v>6267</v>
      </c>
      <c r="E18" s="2"/>
      <c r="F18" s="111"/>
      <c r="G18" s="111"/>
      <c r="H18" s="111"/>
      <c r="I18" s="111"/>
      <c r="L18" s="111" t="s">
        <v>1814</v>
      </c>
      <c r="M18" s="111"/>
      <c r="P18" s="111">
        <f>P16*6%</f>
        <v>83.511599999999987</v>
      </c>
      <c r="Q18" s="111"/>
    </row>
    <row r="19" spans="1:17">
      <c r="I19" s="111"/>
      <c r="L19" s="111"/>
      <c r="M19" s="111"/>
      <c r="N19" s="111"/>
      <c r="O19" s="111"/>
      <c r="P19" s="111"/>
      <c r="Q19" s="111"/>
    </row>
    <row r="20" spans="1:17">
      <c r="A20" s="171" t="s">
        <v>6214</v>
      </c>
      <c r="B20" s="116" t="s">
        <v>6257</v>
      </c>
      <c r="C20" s="121"/>
      <c r="D20" s="111" t="s">
        <v>6259</v>
      </c>
      <c r="E20" s="111"/>
      <c r="H20" s="111">
        <v>187.1</v>
      </c>
      <c r="I20" s="111"/>
      <c r="L20" s="111" t="s">
        <v>4575</v>
      </c>
      <c r="M20" s="111"/>
      <c r="P20" s="111">
        <v>68.73</v>
      </c>
      <c r="Q20" s="111"/>
    </row>
    <row r="21" spans="1:17">
      <c r="A21" s="255"/>
      <c r="B21" s="121"/>
      <c r="C21" s="121"/>
      <c r="D21" s="111" t="s">
        <v>5175</v>
      </c>
      <c r="E21" s="111"/>
      <c r="F21" s="111"/>
      <c r="H21" s="111">
        <v>11.23</v>
      </c>
      <c r="I21" s="111"/>
      <c r="L21" s="111" t="s">
        <v>4576</v>
      </c>
      <c r="M21" s="111"/>
      <c r="N21" s="111"/>
      <c r="P21" s="111">
        <v>144.21</v>
      </c>
      <c r="Q21" s="111"/>
    </row>
    <row r="22" spans="1:17">
      <c r="A22" s="171"/>
      <c r="B22" s="121"/>
      <c r="C22" s="121"/>
      <c r="D22" s="111"/>
      <c r="E22" s="111"/>
      <c r="F22" s="111"/>
      <c r="G22" s="111"/>
      <c r="H22" s="111"/>
      <c r="I22" s="111"/>
    </row>
    <row r="23" spans="1:17">
      <c r="A23" s="255" t="s">
        <v>6214</v>
      </c>
      <c r="B23" s="121" t="s">
        <v>6258</v>
      </c>
      <c r="C23" s="121"/>
      <c r="D23" s="111" t="s">
        <v>6260</v>
      </c>
      <c r="H23" s="111">
        <v>10.49</v>
      </c>
      <c r="I23" s="111"/>
      <c r="L23" s="111" t="s">
        <v>4577</v>
      </c>
      <c r="M23" s="111"/>
      <c r="P23" s="111"/>
      <c r="Q23" s="111"/>
    </row>
    <row r="24" spans="1:17">
      <c r="A24" s="255"/>
      <c r="B24" s="121"/>
      <c r="C24" s="121"/>
      <c r="D24" s="111" t="s">
        <v>5175</v>
      </c>
      <c r="E24" s="111"/>
      <c r="H24" s="111">
        <v>0.63</v>
      </c>
      <c r="I24" s="111"/>
      <c r="L24" s="111"/>
      <c r="M24" s="111"/>
      <c r="P24" s="111"/>
      <c r="Q24" s="111"/>
    </row>
    <row r="25" spans="1:17">
      <c r="A25" s="171"/>
      <c r="B25" s="121"/>
      <c r="C25" s="121"/>
      <c r="D25" s="111"/>
      <c r="F25" s="111"/>
      <c r="H25" s="111"/>
      <c r="I25" s="111"/>
      <c r="L25" s="111" t="s">
        <v>4578</v>
      </c>
      <c r="M25" s="111"/>
      <c r="N25" s="111"/>
      <c r="O25" s="111"/>
      <c r="P25" s="111">
        <f>-569.73</f>
        <v>-569.73</v>
      </c>
      <c r="Q25" s="111"/>
    </row>
    <row r="26" spans="1:17">
      <c r="D26" s="2" t="s">
        <v>6266</v>
      </c>
      <c r="I26" s="111"/>
      <c r="L26" s="111"/>
      <c r="M26" s="111"/>
      <c r="N26" s="111"/>
      <c r="O26" s="111"/>
      <c r="P26" s="111"/>
      <c r="Q26" s="111"/>
    </row>
    <row r="27" spans="1:17">
      <c r="I27" s="111"/>
      <c r="L27" s="111" t="s">
        <v>4579</v>
      </c>
      <c r="M27" s="111"/>
      <c r="N27" s="111"/>
      <c r="O27" s="111"/>
      <c r="P27" s="111">
        <v>-68.73</v>
      </c>
      <c r="Q27" s="111"/>
    </row>
    <row r="28" spans="1:17">
      <c r="A28" s="116" t="s">
        <v>6203</v>
      </c>
      <c r="B28" s="121" t="s">
        <v>6261</v>
      </c>
      <c r="C28" s="111"/>
      <c r="D28" s="111" t="s">
        <v>6262</v>
      </c>
      <c r="E28" s="111"/>
      <c r="F28" s="111"/>
      <c r="G28" s="111"/>
      <c r="H28" s="111">
        <v>18911</v>
      </c>
      <c r="I28" s="111"/>
    </row>
    <row r="29" spans="1:17">
      <c r="A29" s="172"/>
      <c r="B29" s="121"/>
      <c r="C29" s="121"/>
      <c r="D29" s="111" t="s">
        <v>6263</v>
      </c>
      <c r="E29" s="111"/>
      <c r="F29" s="111"/>
      <c r="G29" s="111"/>
      <c r="H29" s="111">
        <v>19424</v>
      </c>
      <c r="I29" s="111"/>
    </row>
    <row r="30" spans="1:17">
      <c r="A30" s="171"/>
      <c r="B30" s="121"/>
      <c r="C30" s="121"/>
      <c r="D30" s="111" t="s">
        <v>5175</v>
      </c>
      <c r="E30" s="111"/>
      <c r="F30" s="111"/>
      <c r="G30" s="111"/>
      <c r="H30" s="111">
        <f>SUM(H28+H29)*6%</f>
        <v>2300.1</v>
      </c>
      <c r="I30" s="111"/>
    </row>
    <row r="31" spans="1:17">
      <c r="A31" s="171"/>
      <c r="B31" s="121"/>
      <c r="C31" s="121"/>
      <c r="D31" s="111"/>
      <c r="E31" s="111"/>
      <c r="F31" s="111"/>
      <c r="G31" s="111"/>
      <c r="H31" s="111"/>
      <c r="I31" s="111"/>
    </row>
    <row r="32" spans="1:17">
      <c r="A32" s="171" t="s">
        <v>6203</v>
      </c>
      <c r="B32" s="121" t="s">
        <v>6264</v>
      </c>
      <c r="C32" s="121"/>
      <c r="D32" s="111" t="s">
        <v>6265</v>
      </c>
      <c r="E32" s="111"/>
      <c r="F32" s="111"/>
      <c r="G32" s="111"/>
      <c r="H32" s="111">
        <v>1411.2</v>
      </c>
      <c r="I32" s="111"/>
    </row>
    <row r="33" spans="1:9">
      <c r="A33" s="171"/>
      <c r="B33" s="121"/>
      <c r="C33" s="121"/>
      <c r="D33" s="111" t="s">
        <v>5175</v>
      </c>
      <c r="E33" s="111"/>
      <c r="F33" s="111"/>
      <c r="G33" s="111"/>
      <c r="H33" s="111">
        <f>H32*6%</f>
        <v>84.671999999999997</v>
      </c>
      <c r="I33" s="111"/>
    </row>
    <row r="34" spans="1:9">
      <c r="A34" s="172"/>
      <c r="B34" s="121"/>
      <c r="C34" s="121"/>
      <c r="D34" s="111"/>
      <c r="E34" s="111"/>
      <c r="F34" s="111"/>
      <c r="G34" s="111"/>
      <c r="H34" s="111"/>
      <c r="I34" s="111"/>
    </row>
    <row r="35" spans="1:9" ht="13.5" thickBot="1">
      <c r="A35" s="125"/>
      <c r="B35" s="121"/>
      <c r="C35" s="121"/>
      <c r="D35" s="111"/>
      <c r="E35" s="111"/>
      <c r="H35" s="117">
        <f>SUM(H19:H34)</f>
        <v>42340.421999999991</v>
      </c>
      <c r="I35" s="111"/>
    </row>
    <row r="36" spans="1:9" ht="13.5" thickTop="1">
      <c r="A36" s="111"/>
      <c r="B36" s="111"/>
      <c r="C36" s="111"/>
      <c r="D36" s="111"/>
      <c r="E36" s="111"/>
      <c r="F36" s="111"/>
      <c r="G36" s="111"/>
      <c r="H36" s="111"/>
      <c r="I36" s="111"/>
    </row>
    <row r="37" spans="1:9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Forty-Two Thousand Three Hundred Forty and 42/100 -----------</v>
      </c>
      <c r="C37" s="202"/>
      <c r="D37" s="119"/>
      <c r="E37" s="119"/>
      <c r="F37" s="119"/>
      <c r="G37" s="119"/>
      <c r="H37" s="119"/>
      <c r="I37" s="111"/>
    </row>
    <row r="38" spans="1:9">
      <c r="A38" s="120" t="s">
        <v>11</v>
      </c>
      <c r="B38" s="111"/>
      <c r="C38" s="111"/>
      <c r="D38" s="111"/>
      <c r="E38" s="111"/>
      <c r="F38" s="111"/>
      <c r="G38" s="111"/>
      <c r="H38" s="111"/>
      <c r="I38" s="111"/>
    </row>
    <row r="39" spans="1:9" ht="25.5">
      <c r="A39" s="111" t="s">
        <v>10</v>
      </c>
      <c r="B39" s="111"/>
      <c r="C39" s="111"/>
      <c r="D39" s="111"/>
      <c r="E39" s="111"/>
      <c r="F39" s="265" t="s">
        <v>2894</v>
      </c>
      <c r="G39" s="266"/>
      <c r="H39" s="267"/>
      <c r="I39" s="111"/>
    </row>
    <row r="40" spans="1:9">
      <c r="A40" s="111"/>
      <c r="B40" s="111"/>
      <c r="C40" s="111"/>
      <c r="D40" s="111"/>
      <c r="E40" s="111"/>
      <c r="F40" s="111"/>
      <c r="G40" s="111"/>
      <c r="H40" s="111"/>
      <c r="I40" s="111"/>
    </row>
    <row r="41" spans="1:9">
      <c r="A41" s="126"/>
      <c r="B41" s="111"/>
      <c r="C41" s="111"/>
      <c r="D41" s="433"/>
      <c r="E41" s="111"/>
    </row>
    <row r="42" spans="1:9">
      <c r="A42" s="111" t="s">
        <v>52</v>
      </c>
      <c r="B42" s="111"/>
      <c r="C42" s="111"/>
      <c r="D42" s="440"/>
      <c r="E42" s="121"/>
      <c r="F42" s="111"/>
      <c r="G42" s="111"/>
      <c r="H42" s="111"/>
      <c r="I42" s="111"/>
    </row>
    <row r="43" spans="1:9">
      <c r="A43" s="122"/>
      <c r="B43" s="122"/>
      <c r="C43" s="111"/>
      <c r="D43" s="433"/>
      <c r="E43" s="111"/>
      <c r="F43" s="111"/>
      <c r="G43" s="111"/>
      <c r="H43" s="111"/>
      <c r="I43" s="111"/>
    </row>
    <row r="44" spans="1:9">
      <c r="A44" s="111"/>
      <c r="B44" s="111"/>
      <c r="C44" s="111"/>
      <c r="D44" s="433"/>
      <c r="E44" s="111"/>
      <c r="F44" s="111"/>
      <c r="G44" s="111"/>
      <c r="H44" s="111"/>
      <c r="I44" s="111"/>
    </row>
    <row r="45" spans="1:9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  <c r="I45" s="111"/>
    </row>
    <row r="46" spans="1:9">
      <c r="A46" s="111"/>
      <c r="B46" s="111"/>
      <c r="C46" s="111"/>
      <c r="D46" s="111"/>
      <c r="E46" s="111"/>
      <c r="F46" s="111"/>
      <c r="G46" s="111"/>
      <c r="H46" s="111"/>
      <c r="I46" s="111"/>
    </row>
    <row r="47" spans="1:9">
      <c r="A47" s="111"/>
      <c r="B47" s="111"/>
      <c r="C47" s="111"/>
      <c r="D47" s="111"/>
      <c r="E47" s="111"/>
      <c r="F47" s="111"/>
      <c r="G47" s="111"/>
      <c r="H47" s="111"/>
      <c r="I47" s="111"/>
    </row>
    <row r="48" spans="1:9">
      <c r="A48" s="111"/>
      <c r="B48" s="111"/>
      <c r="C48" s="111"/>
      <c r="D48" s="111"/>
      <c r="E48" s="111"/>
      <c r="F48" s="111"/>
      <c r="G48" s="111"/>
      <c r="H48" s="111"/>
      <c r="I48" s="111"/>
    </row>
    <row r="49" spans="1:9">
      <c r="A49" s="122" t="s">
        <v>51</v>
      </c>
      <c r="B49" s="122"/>
      <c r="C49" s="111"/>
      <c r="D49" s="122" t="s">
        <v>51</v>
      </c>
      <c r="E49" s="111"/>
      <c r="F49" s="122"/>
      <c r="G49" s="122"/>
      <c r="H49" s="122"/>
      <c r="I49" s="111"/>
    </row>
    <row r="50" spans="1:9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  <c r="I50" s="126"/>
    </row>
    <row r="51" spans="1:9">
      <c r="A51" s="111"/>
      <c r="B51" s="111"/>
      <c r="C51" s="111"/>
      <c r="D51" s="433"/>
      <c r="E51" s="111"/>
      <c r="F51" s="111" t="s">
        <v>2</v>
      </c>
      <c r="G51" s="111"/>
      <c r="H51" s="111"/>
      <c r="I51" s="111"/>
    </row>
    <row r="52" spans="1:9">
      <c r="A52" s="151"/>
      <c r="B52" s="111"/>
      <c r="C52" s="111"/>
      <c r="D52" s="433"/>
      <c r="E52" s="111"/>
      <c r="F52" s="111"/>
      <c r="G52" s="111"/>
      <c r="H52" s="111"/>
      <c r="I52" s="111"/>
    </row>
    <row r="53" spans="1:9">
      <c r="A53" s="111"/>
      <c r="B53" s="111"/>
      <c r="C53" s="111"/>
      <c r="D53" s="433"/>
      <c r="E53" s="111"/>
      <c r="F53" s="2" t="s">
        <v>1</v>
      </c>
      <c r="G53" s="111"/>
      <c r="H53" s="111"/>
      <c r="I53" s="111"/>
    </row>
    <row r="54" spans="1:9">
      <c r="A54" s="111"/>
      <c r="B54" s="111"/>
      <c r="C54" s="111"/>
      <c r="D54" s="111"/>
      <c r="E54" s="111"/>
      <c r="F54" s="2" t="s">
        <v>0</v>
      </c>
      <c r="G54" s="111"/>
      <c r="H54" s="111"/>
      <c r="I54" s="111"/>
    </row>
    <row r="55" spans="1:9">
      <c r="A55" s="111"/>
      <c r="B55" s="111"/>
      <c r="C55" s="111"/>
      <c r="D55" s="111"/>
      <c r="E55" s="111"/>
      <c r="F55" s="111"/>
      <c r="G55" s="111"/>
      <c r="H55" s="111"/>
      <c r="I55" s="111"/>
    </row>
    <row r="56" spans="1:9">
      <c r="A56" s="111"/>
      <c r="B56" s="111"/>
      <c r="C56" s="111"/>
      <c r="D56" s="111"/>
      <c r="E56" s="111"/>
      <c r="F56" s="111"/>
      <c r="G56" s="111"/>
      <c r="H56" s="111"/>
      <c r="I56" s="111"/>
    </row>
    <row r="57" spans="1:9">
      <c r="A57" s="111"/>
      <c r="B57" s="111"/>
      <c r="C57" s="111"/>
      <c r="D57" s="111"/>
      <c r="E57" s="111"/>
      <c r="F57" s="111"/>
      <c r="G57" s="111"/>
      <c r="H57" s="111"/>
      <c r="I57" s="111"/>
    </row>
    <row r="58" spans="1:9">
      <c r="A58" s="111"/>
      <c r="B58" s="111"/>
      <c r="C58" s="111"/>
      <c r="D58" s="111"/>
      <c r="E58" s="111"/>
      <c r="F58" s="111"/>
      <c r="G58" s="111"/>
      <c r="H58" s="111"/>
      <c r="I58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4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1-000000000000}">
  <sheetPr codeName="Sheet28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573</v>
      </c>
    </row>
    <row r="10" spans="1:6">
      <c r="A10" s="1" t="s">
        <v>565</v>
      </c>
      <c r="D10" s="21" t="s">
        <v>21</v>
      </c>
      <c r="E10" s="21" t="s">
        <v>58</v>
      </c>
    </row>
    <row r="11" spans="1:6">
      <c r="D11" s="21" t="s">
        <v>19</v>
      </c>
      <c r="E11" s="21" t="s">
        <v>18</v>
      </c>
    </row>
    <row r="12" spans="1:6">
      <c r="D12" s="21" t="s">
        <v>17</v>
      </c>
      <c r="E12" s="20" t="s">
        <v>572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0" spans="2:6">
      <c r="C20" s="13"/>
    </row>
    <row r="21" spans="2:6">
      <c r="C21" s="13"/>
    </row>
    <row r="22" spans="2:6">
      <c r="B22" s="8"/>
      <c r="C22" s="1" t="s">
        <v>456</v>
      </c>
      <c r="F22" s="1">
        <v>300</v>
      </c>
    </row>
    <row r="24" spans="2:6">
      <c r="B24" s="8"/>
    </row>
    <row r="25" spans="2:6">
      <c r="B25" s="8"/>
    </row>
    <row r="26" spans="2:6">
      <c r="B26" s="8"/>
    </row>
    <row r="27" spans="2:6">
      <c r="B27" s="8"/>
    </row>
    <row r="28" spans="2:6">
      <c r="B28" s="8"/>
    </row>
    <row r="33" spans="1:6" ht="13.5" thickBot="1">
      <c r="F33" s="12">
        <f>SUM(F20:F32)</f>
        <v>300</v>
      </c>
    </row>
    <row r="34" spans="1:6" ht="13.5" thickTop="1"/>
    <row r="35" spans="1:6" ht="20.100000000000001" customHeight="1">
      <c r="A35" s="10" t="s">
        <v>181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1-000000000000}">
  <sheetPr codeName="Sheet31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85546875" style="1" customWidth="1"/>
    <col min="2" max="2" width="14.42578125" style="1" customWidth="1"/>
    <col min="3" max="3" width="22.42578125" style="1" customWidth="1"/>
    <col min="4" max="4" width="10.85546875" style="1" customWidth="1"/>
    <col min="5" max="5" width="10.140625" style="1" customWidth="1"/>
    <col min="6" max="6" width="13.71093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581</v>
      </c>
    </row>
    <row r="10" spans="1:6">
      <c r="A10" s="13" t="s">
        <v>580</v>
      </c>
      <c r="D10" s="21" t="s">
        <v>21</v>
      </c>
      <c r="E10" s="20" t="s">
        <v>570</v>
      </c>
    </row>
    <row r="11" spans="1:6">
      <c r="A11" s="13"/>
      <c r="D11" s="21" t="s">
        <v>19</v>
      </c>
      <c r="E11" s="20" t="s">
        <v>18</v>
      </c>
    </row>
    <row r="12" spans="1:6">
      <c r="A12" s="13"/>
      <c r="D12" s="21" t="s">
        <v>17</v>
      </c>
      <c r="E12" s="20" t="s">
        <v>579</v>
      </c>
    </row>
    <row r="13" spans="1:6">
      <c r="A13" s="13"/>
    </row>
    <row r="14" spans="1:6">
      <c r="A14" s="13"/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8" spans="1:6">
      <c r="A18" s="36"/>
      <c r="C18" s="14"/>
    </row>
    <row r="19" spans="1:6">
      <c r="C19" s="14" t="s">
        <v>578</v>
      </c>
    </row>
    <row r="20" spans="1:6">
      <c r="A20" s="38"/>
      <c r="B20" s="13"/>
      <c r="C20" s="13"/>
    </row>
    <row r="21" spans="1:6">
      <c r="A21" s="75">
        <v>40443</v>
      </c>
      <c r="B21" s="13"/>
      <c r="C21" s="13" t="s">
        <v>577</v>
      </c>
      <c r="F21" s="37">
        <v>375.15</v>
      </c>
    </row>
    <row r="22" spans="1:6">
      <c r="F22" s="37"/>
    </row>
    <row r="23" spans="1:6">
      <c r="A23" s="36"/>
      <c r="C23" s="13" t="s">
        <v>576</v>
      </c>
      <c r="F23" s="37">
        <v>147.19999999999999</v>
      </c>
    </row>
    <row r="24" spans="1:6">
      <c r="A24" s="36"/>
      <c r="B24" s="8"/>
      <c r="C24" s="13"/>
      <c r="F24" s="37"/>
    </row>
    <row r="25" spans="1:6">
      <c r="A25" s="75"/>
      <c r="B25" s="34"/>
      <c r="C25" s="13" t="s">
        <v>575</v>
      </c>
      <c r="F25" s="37">
        <v>145.1</v>
      </c>
    </row>
    <row r="26" spans="1:6">
      <c r="A26" s="36"/>
      <c r="B26" s="8"/>
      <c r="C26" s="13"/>
    </row>
    <row r="27" spans="1:6">
      <c r="A27" s="36"/>
      <c r="C27" s="13"/>
    </row>
    <row r="28" spans="1:6">
      <c r="A28" s="36"/>
      <c r="C28" s="13"/>
    </row>
    <row r="33" spans="1:6" ht="13.5" thickBot="1">
      <c r="F33" s="33">
        <f>SUM(F20:F32)</f>
        <v>667.44999999999993</v>
      </c>
    </row>
    <row r="34" spans="1:6" ht="13.5" thickTop="1"/>
    <row r="35" spans="1:6" ht="20.100000000000001" customHeight="1">
      <c r="A35" s="11" t="s">
        <v>204</v>
      </c>
      <c r="B35" s="11" t="s">
        <v>574</v>
      </c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52</v>
      </c>
      <c r="C40" s="7"/>
    </row>
    <row r="41" spans="1:6">
      <c r="A41" s="35"/>
      <c r="B41" s="35"/>
    </row>
    <row r="43" spans="1:6">
      <c r="A43" s="6" t="s">
        <v>8</v>
      </c>
      <c r="D43" s="6" t="s">
        <v>7</v>
      </c>
      <c r="F43" s="5"/>
    </row>
    <row r="47" spans="1:6">
      <c r="A47" s="35" t="s">
        <v>51</v>
      </c>
      <c r="B47" s="35"/>
      <c r="D47" s="35"/>
      <c r="E47" s="35"/>
      <c r="F47" s="35"/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1-000000000000}">
  <sheetPr codeName="Sheet44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591</v>
      </c>
    </row>
    <row r="10" spans="1:6">
      <c r="A10" s="1" t="s">
        <v>590</v>
      </c>
      <c r="D10" s="21" t="s">
        <v>21</v>
      </c>
      <c r="E10" s="21" t="s">
        <v>58</v>
      </c>
    </row>
    <row r="11" spans="1:6">
      <c r="A11" s="1" t="s">
        <v>589</v>
      </c>
      <c r="D11" s="21" t="s">
        <v>19</v>
      </c>
      <c r="E11" s="21" t="s">
        <v>18</v>
      </c>
    </row>
    <row r="12" spans="1:6">
      <c r="A12" s="1" t="s">
        <v>588</v>
      </c>
      <c r="D12" s="21" t="s">
        <v>17</v>
      </c>
      <c r="E12" s="20" t="s">
        <v>587</v>
      </c>
    </row>
    <row r="13" spans="1:6">
      <c r="A13" s="1" t="s">
        <v>586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0" spans="1:6">
      <c r="C20" s="13"/>
    </row>
    <row r="21" spans="1:6">
      <c r="C21" s="13"/>
    </row>
    <row r="22" spans="1:6">
      <c r="A22" s="1" t="s">
        <v>585</v>
      </c>
      <c r="B22" s="8"/>
      <c r="C22" s="1" t="s">
        <v>584</v>
      </c>
      <c r="F22" s="1">
        <v>343</v>
      </c>
    </row>
    <row r="23" spans="1:6">
      <c r="C23" s="1" t="s">
        <v>583</v>
      </c>
      <c r="F23" s="1">
        <v>90</v>
      </c>
    </row>
    <row r="24" spans="1:6">
      <c r="B24" s="8"/>
    </row>
    <row r="25" spans="1:6">
      <c r="B25" s="8"/>
    </row>
    <row r="26" spans="1:6">
      <c r="B26" s="8"/>
    </row>
    <row r="27" spans="1:6">
      <c r="B27" s="8"/>
    </row>
    <row r="28" spans="1:6">
      <c r="B28" s="8"/>
    </row>
    <row r="33" spans="1:6" ht="13.5" thickBot="1">
      <c r="F33" s="12">
        <f>SUM(F20:F32)</f>
        <v>433</v>
      </c>
    </row>
    <row r="34" spans="1:6" ht="13.5" thickTop="1"/>
    <row r="35" spans="1:6" ht="20.100000000000001" customHeight="1">
      <c r="A35" s="10" t="s">
        <v>582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1-000000000000}">
  <sheetPr codeName="Sheet48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594</v>
      </c>
    </row>
    <row r="10" spans="1:6">
      <c r="A10" s="1" t="s">
        <v>593</v>
      </c>
      <c r="D10" s="21" t="s">
        <v>21</v>
      </c>
      <c r="E10" s="21" t="s">
        <v>40</v>
      </c>
    </row>
    <row r="11" spans="1:6">
      <c r="A11" s="1" t="s">
        <v>57</v>
      </c>
      <c r="D11" s="21" t="s">
        <v>19</v>
      </c>
      <c r="E11" s="21" t="s">
        <v>18</v>
      </c>
    </row>
    <row r="12" spans="1:6">
      <c r="D12" s="21" t="s">
        <v>17</v>
      </c>
      <c r="E12" s="20" t="s">
        <v>592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56</v>
      </c>
    </row>
    <row r="20" spans="1:6">
      <c r="C20" s="14" t="s">
        <v>121</v>
      </c>
    </row>
    <row r="23" spans="1:6">
      <c r="A23" s="1" t="s">
        <v>494</v>
      </c>
      <c r="C23" s="1" t="s">
        <v>118</v>
      </c>
      <c r="F23" s="1">
        <v>250</v>
      </c>
    </row>
    <row r="33" spans="1:6" ht="13.5" thickBot="1">
      <c r="F33" s="12">
        <f>SUM(F20:F32)</f>
        <v>250</v>
      </c>
    </row>
    <row r="34" spans="1:6" ht="13.5" thickTop="1"/>
    <row r="35" spans="1:6" ht="20.100000000000001" customHeight="1">
      <c r="A35" s="10" t="s">
        <v>117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1-000000000000}">
  <sheetPr codeName="Sheet49">
    <pageSetUpPr fitToPage="1"/>
  </sheetPr>
  <dimension ref="A1:F52"/>
  <sheetViews>
    <sheetView topLeftCell="A35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597</v>
      </c>
    </row>
    <row r="10" spans="1:6">
      <c r="A10" s="1" t="s">
        <v>596</v>
      </c>
      <c r="D10" s="21" t="s">
        <v>21</v>
      </c>
      <c r="E10" s="21" t="s">
        <v>40</v>
      </c>
    </row>
    <row r="11" spans="1:6">
      <c r="A11" s="1" t="s">
        <v>57</v>
      </c>
      <c r="D11" s="21" t="s">
        <v>19</v>
      </c>
      <c r="E11" s="21" t="s">
        <v>18</v>
      </c>
    </row>
    <row r="12" spans="1:6">
      <c r="D12" s="21" t="s">
        <v>17</v>
      </c>
      <c r="E12" s="20" t="s">
        <v>595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56</v>
      </c>
    </row>
    <row r="20" spans="1:6">
      <c r="C20" s="14" t="s">
        <v>121</v>
      </c>
    </row>
    <row r="23" spans="1:6">
      <c r="A23" s="1" t="s">
        <v>494</v>
      </c>
      <c r="C23" s="1" t="s">
        <v>118</v>
      </c>
      <c r="F23" s="1">
        <v>250</v>
      </c>
    </row>
    <row r="33" spans="1:6" ht="13.5" thickBot="1">
      <c r="F33" s="12">
        <f>SUM(F20:F32)</f>
        <v>250</v>
      </c>
    </row>
    <row r="34" spans="1:6" ht="13.5" thickTop="1"/>
    <row r="35" spans="1:6" ht="20.100000000000001" customHeight="1">
      <c r="A35" s="10" t="s">
        <v>117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56">
    <pageSetUpPr fitToPage="1"/>
  </sheetPr>
  <dimension ref="A1:H56"/>
  <sheetViews>
    <sheetView zoomScaleNormal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" style="1" customWidth="1"/>
    <col min="4" max="4" width="28.42578125" style="1" customWidth="1"/>
    <col min="5" max="5" width="0.71093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11" t="s">
        <v>4222</v>
      </c>
      <c r="H9" s="111"/>
    </row>
    <row r="10" spans="1:8">
      <c r="A10" s="111" t="s">
        <v>4223</v>
      </c>
      <c r="B10" s="111"/>
      <c r="C10" s="111"/>
      <c r="D10" s="111"/>
      <c r="E10" s="111"/>
      <c r="F10" s="112" t="s">
        <v>1162</v>
      </c>
      <c r="G10" s="111" t="s">
        <v>4217</v>
      </c>
      <c r="H10" s="111"/>
    </row>
    <row r="11" spans="1:8">
      <c r="A11" s="111" t="s">
        <v>4224</v>
      </c>
      <c r="B11" s="111"/>
      <c r="C11" s="111"/>
      <c r="D11" s="111"/>
      <c r="E11" s="111"/>
      <c r="F11" s="112" t="s">
        <v>1163</v>
      </c>
      <c r="G11" s="111" t="s">
        <v>1094</v>
      </c>
      <c r="H11" s="111"/>
    </row>
    <row r="12" spans="1:8">
      <c r="A12" s="111" t="s">
        <v>4225</v>
      </c>
      <c r="B12" s="111"/>
      <c r="C12" s="111"/>
      <c r="D12" s="111"/>
      <c r="E12" s="111"/>
      <c r="F12" s="112" t="s">
        <v>1135</v>
      </c>
      <c r="G12" s="120" t="s">
        <v>1270</v>
      </c>
      <c r="H12" s="111"/>
    </row>
    <row r="13" spans="1:8">
      <c r="A13" s="111" t="s">
        <v>4226</v>
      </c>
      <c r="B13" s="111"/>
      <c r="C13" s="111"/>
      <c r="D13" s="111"/>
      <c r="E13" s="111"/>
      <c r="F13" s="111"/>
      <c r="G13" s="13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2" t="s">
        <v>4220</v>
      </c>
      <c r="E18" s="2"/>
      <c r="F18" s="111"/>
      <c r="G18" s="111"/>
      <c r="H18" s="111"/>
    </row>
    <row r="19" spans="1:8">
      <c r="A19" s="116"/>
      <c r="B19" s="116"/>
      <c r="C19" s="116"/>
      <c r="D19" s="111"/>
      <c r="E19" s="111"/>
      <c r="F19" s="111"/>
      <c r="G19" s="111"/>
      <c r="H19" s="111"/>
    </row>
    <row r="20" spans="1:8">
      <c r="A20" s="116" t="s">
        <v>4227</v>
      </c>
      <c r="B20" s="116" t="s">
        <v>4228</v>
      </c>
      <c r="C20" s="116"/>
      <c r="D20" s="111" t="s">
        <v>4229</v>
      </c>
      <c r="E20" s="111"/>
      <c r="F20" s="111"/>
      <c r="G20" s="111"/>
      <c r="H20" s="111">
        <f>2000*4.501</f>
        <v>9002</v>
      </c>
    </row>
    <row r="21" spans="1:8">
      <c r="A21" s="111"/>
      <c r="B21" s="111"/>
      <c r="C21" s="111"/>
      <c r="D21" s="111" t="s">
        <v>4230</v>
      </c>
      <c r="E21" s="111"/>
      <c r="F21" s="111"/>
      <c r="G21" s="111"/>
      <c r="H21" s="111"/>
    </row>
    <row r="22" spans="1:8">
      <c r="A22" s="116"/>
      <c r="B22" s="116"/>
      <c r="C22" s="116"/>
      <c r="D22" s="111"/>
      <c r="E22" s="111"/>
      <c r="F22" s="111"/>
      <c r="G22" s="111"/>
      <c r="H22" s="111"/>
    </row>
    <row r="23" spans="1:8">
      <c r="B23" s="116"/>
      <c r="C23" s="116"/>
      <c r="D23" s="111" t="s">
        <v>1697</v>
      </c>
      <c r="H23" s="111">
        <v>30</v>
      </c>
    </row>
    <row r="24" spans="1:8">
      <c r="B24" s="116"/>
      <c r="C24" s="116"/>
      <c r="D24" s="111"/>
      <c r="E24" s="111"/>
      <c r="F24" s="111"/>
      <c r="G24" s="111"/>
      <c r="H24" s="111"/>
    </row>
    <row r="25" spans="1:8">
      <c r="B25" s="116"/>
      <c r="C25" s="116"/>
      <c r="D25" s="111" t="s">
        <v>4221</v>
      </c>
      <c r="E25" s="111"/>
      <c r="F25" s="111"/>
      <c r="G25" s="111"/>
      <c r="H25" s="111">
        <v>1.8</v>
      </c>
    </row>
    <row r="26" spans="1:8">
      <c r="A26" s="116"/>
      <c r="B26" s="116"/>
      <c r="C26" s="116"/>
      <c r="D26" s="111"/>
      <c r="E26" s="111"/>
      <c r="F26" s="111"/>
      <c r="G26" s="111"/>
      <c r="H26" s="111"/>
    </row>
    <row r="27" spans="1:8">
      <c r="A27" s="116"/>
      <c r="B27" s="116"/>
      <c r="C27" s="116"/>
      <c r="D27" s="111"/>
      <c r="E27" s="111"/>
      <c r="F27" s="111"/>
      <c r="G27" s="111"/>
      <c r="H27" s="111"/>
    </row>
    <row r="28" spans="1:8">
      <c r="A28" s="111"/>
      <c r="B28" s="111"/>
      <c r="C28" s="111"/>
      <c r="D28" s="111"/>
      <c r="E28" s="111"/>
      <c r="F28" s="111"/>
      <c r="G28" s="111"/>
      <c r="H28" s="111"/>
    </row>
    <row r="29" spans="1:8">
      <c r="A29" s="116"/>
      <c r="B29" s="116"/>
      <c r="C29" s="116"/>
      <c r="D29" s="111"/>
      <c r="E29" s="111"/>
      <c r="F29" s="111"/>
      <c r="G29" s="111"/>
      <c r="H29" s="111"/>
    </row>
    <row r="30" spans="1:8">
      <c r="B30" s="116"/>
      <c r="C30" s="116"/>
    </row>
    <row r="31" spans="1:8">
      <c r="A31" s="116"/>
      <c r="B31" s="116"/>
      <c r="C31" s="116"/>
      <c r="D31" s="111"/>
      <c r="E31" s="111"/>
      <c r="H31" s="111"/>
    </row>
    <row r="34" spans="1:8">
      <c r="A34" s="111"/>
      <c r="B34" s="111"/>
      <c r="C34" s="111"/>
      <c r="D34" s="111"/>
      <c r="E34" s="111"/>
      <c r="F34" s="111"/>
      <c r="G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9033.7999999999993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 Thousand Thirty-Three and 80/100 -----------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4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1-000000000000}">
  <sheetPr codeName="Sheet51">
    <pageSetUpPr fitToPage="1"/>
  </sheetPr>
  <dimension ref="A1:F52"/>
  <sheetViews>
    <sheetView topLeftCell="A7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600</v>
      </c>
    </row>
    <row r="10" spans="1:6">
      <c r="A10" s="1" t="s">
        <v>599</v>
      </c>
      <c r="D10" s="21" t="s">
        <v>21</v>
      </c>
      <c r="E10" s="21" t="s">
        <v>40</v>
      </c>
    </row>
    <row r="11" spans="1:6">
      <c r="A11" s="1" t="s">
        <v>57</v>
      </c>
      <c r="D11" s="21" t="s">
        <v>19</v>
      </c>
      <c r="E11" s="21" t="s">
        <v>18</v>
      </c>
    </row>
    <row r="12" spans="1:6">
      <c r="D12" s="21" t="s">
        <v>17</v>
      </c>
      <c r="E12" s="20" t="s">
        <v>598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56</v>
      </c>
    </row>
    <row r="20" spans="1:6">
      <c r="C20" s="14" t="s">
        <v>121</v>
      </c>
    </row>
    <row r="21" spans="1:6">
      <c r="C21" s="14" t="s">
        <v>120</v>
      </c>
    </row>
    <row r="23" spans="1:6">
      <c r="A23" s="13" t="s">
        <v>119</v>
      </c>
      <c r="C23" s="1" t="s">
        <v>118</v>
      </c>
      <c r="F23" s="1">
        <v>250</v>
      </c>
    </row>
    <row r="33" spans="1:6" ht="13.5" thickBot="1">
      <c r="F33" s="12">
        <f>SUM(F20:F32)</f>
        <v>250</v>
      </c>
    </row>
    <row r="34" spans="1:6" ht="13.5" thickTop="1"/>
    <row r="35" spans="1:6" ht="20.100000000000001" customHeight="1">
      <c r="A35" s="11" t="s">
        <v>117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1-000000000000}">
  <sheetPr codeName="Sheet56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615</v>
      </c>
    </row>
    <row r="10" spans="1:6">
      <c r="A10" s="1" t="s">
        <v>614</v>
      </c>
      <c r="D10" s="21" t="s">
        <v>21</v>
      </c>
      <c r="E10" s="21" t="s">
        <v>527</v>
      </c>
    </row>
    <row r="11" spans="1:6">
      <c r="A11" s="1" t="s">
        <v>613</v>
      </c>
      <c r="D11" s="21" t="s">
        <v>19</v>
      </c>
      <c r="E11" s="21" t="s">
        <v>18</v>
      </c>
    </row>
    <row r="12" spans="1:6">
      <c r="A12" s="1" t="s">
        <v>612</v>
      </c>
      <c r="D12" s="21" t="s">
        <v>17</v>
      </c>
      <c r="E12" s="21" t="s">
        <v>611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610</v>
      </c>
    </row>
    <row r="20" spans="1:6">
      <c r="C20" s="44" t="s">
        <v>609</v>
      </c>
    </row>
    <row r="22" spans="1:6">
      <c r="B22" s="8"/>
    </row>
    <row r="23" spans="1:6">
      <c r="A23" s="1" t="s">
        <v>608</v>
      </c>
      <c r="C23" s="1" t="s">
        <v>607</v>
      </c>
      <c r="F23" s="1">
        <v>19557.8</v>
      </c>
    </row>
    <row r="24" spans="1:6">
      <c r="B24" s="8"/>
      <c r="C24" s="1" t="s">
        <v>606</v>
      </c>
    </row>
    <row r="25" spans="1:6">
      <c r="B25" s="8"/>
      <c r="C25" s="1" t="s">
        <v>605</v>
      </c>
    </row>
    <row r="26" spans="1:6">
      <c r="C26" s="1" t="s">
        <v>604</v>
      </c>
    </row>
    <row r="27" spans="1:6">
      <c r="B27" s="8"/>
      <c r="C27" s="1" t="s">
        <v>603</v>
      </c>
    </row>
    <row r="28" spans="1:6">
      <c r="B28" s="8"/>
      <c r="C28" s="1" t="s">
        <v>602</v>
      </c>
    </row>
    <row r="33" spans="1:6" ht="13.5" thickBot="1">
      <c r="F33" s="12">
        <f>SUM(F20:F32)</f>
        <v>19557.8</v>
      </c>
    </row>
    <row r="34" spans="1:6" ht="13.5" thickTop="1"/>
    <row r="35" spans="1:6" ht="20.100000000000001" customHeight="1">
      <c r="A35" s="10" t="s">
        <v>601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1-000000000000}">
  <sheetPr codeName="Sheet5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622</v>
      </c>
    </row>
    <row r="10" spans="1:6">
      <c r="A10" s="1" t="s">
        <v>621</v>
      </c>
      <c r="D10" s="21" t="s">
        <v>21</v>
      </c>
      <c r="E10" s="21" t="s">
        <v>620</v>
      </c>
    </row>
    <row r="11" spans="1:6">
      <c r="A11" s="1" t="s">
        <v>619</v>
      </c>
      <c r="D11" s="21" t="s">
        <v>19</v>
      </c>
      <c r="E11" s="21" t="s">
        <v>18</v>
      </c>
    </row>
    <row r="12" spans="1:6">
      <c r="A12" s="1" t="s">
        <v>612</v>
      </c>
      <c r="D12" s="21" t="s">
        <v>17</v>
      </c>
      <c r="E12" s="21" t="s">
        <v>618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A19" s="1" t="s">
        <v>617</v>
      </c>
      <c r="C19" s="14" t="s">
        <v>616</v>
      </c>
    </row>
    <row r="20" spans="1:6">
      <c r="C20" s="44"/>
    </row>
    <row r="22" spans="1:6">
      <c r="B22" s="8"/>
      <c r="C22" s="1" t="s">
        <v>335</v>
      </c>
      <c r="F22" s="1">
        <v>5000</v>
      </c>
    </row>
    <row r="23" spans="1:6">
      <c r="B23" s="8"/>
    </row>
    <row r="24" spans="1:6">
      <c r="B24" s="8"/>
      <c r="C24" s="13"/>
    </row>
    <row r="25" spans="1:6">
      <c r="B25" s="8"/>
    </row>
    <row r="27" spans="1:6">
      <c r="B27" s="8"/>
    </row>
    <row r="28" spans="1:6">
      <c r="B28" s="8"/>
    </row>
    <row r="33" spans="1:6" ht="13.5" thickBot="1">
      <c r="F33" s="12">
        <f>SUM(F20:F32)</f>
        <v>5000</v>
      </c>
    </row>
    <row r="34" spans="1:6" ht="13.5" thickTop="1"/>
    <row r="35" spans="1:6" ht="20.100000000000001" customHeight="1">
      <c r="A35" s="10" t="s">
        <v>59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1-000000000000}">
  <sheetPr codeName="Sheet58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632</v>
      </c>
    </row>
    <row r="10" spans="1:6">
      <c r="A10" s="1" t="s">
        <v>631</v>
      </c>
      <c r="D10" s="21" t="s">
        <v>21</v>
      </c>
      <c r="E10" s="21" t="s">
        <v>630</v>
      </c>
    </row>
    <row r="11" spans="1:6">
      <c r="A11" s="1" t="s">
        <v>629</v>
      </c>
      <c r="D11" s="21" t="s">
        <v>19</v>
      </c>
      <c r="E11" s="21" t="s">
        <v>18</v>
      </c>
    </row>
    <row r="12" spans="1:6">
      <c r="A12" s="1" t="s">
        <v>628</v>
      </c>
      <c r="D12" s="21" t="s">
        <v>17</v>
      </c>
      <c r="E12" s="20" t="s">
        <v>627</v>
      </c>
    </row>
    <row r="13" spans="1:6">
      <c r="A13" s="1" t="s">
        <v>626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2:6">
      <c r="C19" s="14" t="s">
        <v>625</v>
      </c>
    </row>
    <row r="20" spans="2:6">
      <c r="C20" s="14" t="s">
        <v>624</v>
      </c>
    </row>
    <row r="22" spans="2:6">
      <c r="B22" s="8"/>
    </row>
    <row r="23" spans="2:6">
      <c r="B23" s="8"/>
      <c r="C23" s="1" t="s">
        <v>380</v>
      </c>
      <c r="F23" s="1">
        <v>8000</v>
      </c>
    </row>
    <row r="24" spans="2:6">
      <c r="B24" s="8"/>
      <c r="C24" s="13"/>
    </row>
    <row r="25" spans="2:6">
      <c r="B25" s="8"/>
    </row>
    <row r="27" spans="2:6">
      <c r="B27" s="8"/>
    </row>
    <row r="28" spans="2:6">
      <c r="B28" s="8"/>
    </row>
    <row r="33" spans="1:6" ht="13.5" thickBot="1">
      <c r="F33" s="12">
        <f>SUM(F20:F32)</f>
        <v>8000</v>
      </c>
    </row>
    <row r="34" spans="1:6" ht="13.5" thickTop="1"/>
    <row r="35" spans="1:6" ht="20.100000000000001" customHeight="1">
      <c r="A35" s="10" t="s">
        <v>623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1-000000000000}">
  <sheetPr codeName="Sheet60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645</v>
      </c>
    </row>
    <row r="10" spans="1:6">
      <c r="A10" s="1" t="s">
        <v>644</v>
      </c>
      <c r="D10" s="21" t="s">
        <v>21</v>
      </c>
      <c r="E10" s="21" t="s">
        <v>643</v>
      </c>
    </row>
    <row r="11" spans="1:6">
      <c r="A11" s="1" t="s">
        <v>642</v>
      </c>
      <c r="D11" s="21" t="s">
        <v>19</v>
      </c>
      <c r="E11" s="21" t="s">
        <v>18</v>
      </c>
    </row>
    <row r="12" spans="1:6">
      <c r="A12" s="1" t="s">
        <v>641</v>
      </c>
      <c r="D12" s="21" t="s">
        <v>17</v>
      </c>
      <c r="E12" s="20" t="s">
        <v>640</v>
      </c>
    </row>
    <row r="17" spans="1:6" s="15" customFormat="1" ht="20.100000000000001" customHeight="1">
      <c r="A17" s="18" t="s">
        <v>15</v>
      </c>
      <c r="B17" s="18"/>
      <c r="C17" s="19" t="s">
        <v>14</v>
      </c>
      <c r="D17" s="18"/>
      <c r="E17" s="17"/>
      <c r="F17" s="16" t="s">
        <v>13</v>
      </c>
    </row>
    <row r="20" spans="1:6">
      <c r="C20" s="13"/>
    </row>
    <row r="21" spans="1:6">
      <c r="C21" s="14" t="s">
        <v>639</v>
      </c>
    </row>
    <row r="22" spans="1:6">
      <c r="C22" s="13"/>
    </row>
    <row r="23" spans="1:6">
      <c r="A23" s="1" t="s">
        <v>638</v>
      </c>
      <c r="C23" s="1" t="s">
        <v>637</v>
      </c>
      <c r="F23" s="1">
        <v>1000</v>
      </c>
    </row>
    <row r="25" spans="1:6">
      <c r="A25" s="1" t="s">
        <v>636</v>
      </c>
      <c r="C25" s="1" t="s">
        <v>635</v>
      </c>
      <c r="F25" s="1">
        <v>1250</v>
      </c>
    </row>
    <row r="26" spans="1:6">
      <c r="C26" s="1" t="s">
        <v>634</v>
      </c>
      <c r="F26" s="1">
        <v>1090</v>
      </c>
    </row>
    <row r="33" spans="1:6" ht="13.5" thickBot="1">
      <c r="F33" s="12">
        <f>SUM(F20:F32)</f>
        <v>3340</v>
      </c>
    </row>
    <row r="34" spans="1:6" ht="13.5" thickTop="1"/>
    <row r="35" spans="1:6" ht="20.100000000000001" customHeight="1">
      <c r="A35" s="10" t="s">
        <v>633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1-000000000000}">
  <sheetPr codeName="Sheet62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652</v>
      </c>
    </row>
    <row r="10" spans="1:6">
      <c r="A10" s="1" t="s">
        <v>651</v>
      </c>
      <c r="D10" s="21" t="s">
        <v>21</v>
      </c>
      <c r="E10" s="21" t="s">
        <v>643</v>
      </c>
    </row>
    <row r="11" spans="1:6">
      <c r="A11" s="1" t="s">
        <v>650</v>
      </c>
      <c r="D11" s="21" t="s">
        <v>19</v>
      </c>
      <c r="E11" s="21" t="s">
        <v>18</v>
      </c>
    </row>
    <row r="12" spans="1:6">
      <c r="A12" s="1" t="s">
        <v>249</v>
      </c>
      <c r="D12" s="21" t="s">
        <v>17</v>
      </c>
      <c r="E12" s="20" t="s">
        <v>649</v>
      </c>
    </row>
    <row r="13" spans="1:6">
      <c r="A13" s="1" t="s">
        <v>248</v>
      </c>
    </row>
    <row r="17" spans="1:6" s="15" customFormat="1" ht="20.100000000000001" customHeight="1">
      <c r="A17" s="18" t="s">
        <v>15</v>
      </c>
      <c r="B17" s="18"/>
      <c r="C17" s="19" t="s">
        <v>14</v>
      </c>
      <c r="D17" s="18"/>
      <c r="E17" s="17"/>
      <c r="F17" s="16" t="s">
        <v>13</v>
      </c>
    </row>
    <row r="20" spans="1:6">
      <c r="C20" s="13"/>
    </row>
    <row r="21" spans="1:6">
      <c r="C21" s="14" t="s">
        <v>648</v>
      </c>
    </row>
    <row r="22" spans="1:6">
      <c r="C22" s="14" t="s">
        <v>647</v>
      </c>
    </row>
    <row r="25" spans="1:6">
      <c r="A25" s="1" t="s">
        <v>646</v>
      </c>
      <c r="C25" s="1" t="s">
        <v>244</v>
      </c>
      <c r="F25" s="1">
        <v>10000</v>
      </c>
    </row>
    <row r="33" spans="1:6" ht="13.5" thickBot="1">
      <c r="F33" s="12">
        <f>SUM(F20:F32)</f>
        <v>10000</v>
      </c>
    </row>
    <row r="34" spans="1:6" ht="13.5" thickTop="1"/>
    <row r="35" spans="1:6" ht="20.100000000000001" customHeight="1">
      <c r="A35" s="10" t="s">
        <v>286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1-000000000000}">
  <sheetPr codeName="Sheet84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664</v>
      </c>
    </row>
    <row r="10" spans="1:6">
      <c r="A10" s="1" t="s">
        <v>663</v>
      </c>
      <c r="D10" s="21" t="s">
        <v>21</v>
      </c>
      <c r="E10" s="21" t="s">
        <v>662</v>
      </c>
    </row>
    <row r="11" spans="1:6">
      <c r="A11" s="1" t="s">
        <v>661</v>
      </c>
      <c r="D11" s="21" t="s">
        <v>19</v>
      </c>
      <c r="E11" s="21" t="s">
        <v>18</v>
      </c>
    </row>
    <row r="12" spans="1:6">
      <c r="A12" s="1" t="s">
        <v>660</v>
      </c>
      <c r="D12" s="21" t="s">
        <v>17</v>
      </c>
      <c r="E12" s="21" t="s">
        <v>659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3" spans="1:6">
      <c r="A23" s="1" t="s">
        <v>658</v>
      </c>
      <c r="C23" s="1" t="s">
        <v>657</v>
      </c>
      <c r="F23" s="1">
        <v>1100</v>
      </c>
    </row>
    <row r="24" spans="1:6">
      <c r="C24" s="1" t="s">
        <v>656</v>
      </c>
    </row>
    <row r="25" spans="1:6">
      <c r="C25" s="1" t="s">
        <v>655</v>
      </c>
    </row>
    <row r="26" spans="1:6">
      <c r="C26" s="1" t="s">
        <v>654</v>
      </c>
    </row>
    <row r="33" spans="1:6" ht="13.5" thickBot="1">
      <c r="F33" s="12">
        <f>SUM(F20:F32)</f>
        <v>1100</v>
      </c>
    </row>
    <row r="34" spans="1:6" ht="13.5" thickTop="1"/>
    <row r="35" spans="1:6" ht="20.100000000000001" customHeight="1">
      <c r="A35" s="10" t="s">
        <v>653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1-000000000000}">
  <sheetPr codeName="Sheet89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672</v>
      </c>
    </row>
    <row r="10" spans="1:6">
      <c r="A10" s="1" t="s">
        <v>671</v>
      </c>
      <c r="D10" s="21" t="s">
        <v>21</v>
      </c>
      <c r="E10" s="21" t="s">
        <v>54</v>
      </c>
    </row>
    <row r="11" spans="1:6">
      <c r="A11" s="1" t="s">
        <v>670</v>
      </c>
      <c r="D11" s="21" t="s">
        <v>19</v>
      </c>
      <c r="E11" s="21" t="s">
        <v>18</v>
      </c>
    </row>
    <row r="12" spans="1:6">
      <c r="A12" s="1" t="s">
        <v>669</v>
      </c>
      <c r="D12" s="21" t="s">
        <v>17</v>
      </c>
      <c r="E12" s="20" t="s">
        <v>668</v>
      </c>
    </row>
    <row r="17" spans="1:6" s="15" customFormat="1" ht="20.100000000000001" customHeight="1">
      <c r="A17" s="18" t="s">
        <v>15</v>
      </c>
      <c r="B17" s="18"/>
      <c r="C17" s="19" t="s">
        <v>14</v>
      </c>
      <c r="D17" s="18"/>
      <c r="E17" s="17"/>
      <c r="F17" s="16" t="s">
        <v>13</v>
      </c>
    </row>
    <row r="20" spans="1:6">
      <c r="C20" s="14" t="s">
        <v>667</v>
      </c>
    </row>
    <row r="21" spans="1:6">
      <c r="C21" s="14" t="s">
        <v>666</v>
      </c>
    </row>
    <row r="22" spans="1:6">
      <c r="C22" s="13"/>
    </row>
    <row r="25" spans="1:6">
      <c r="C25" s="1" t="s">
        <v>665</v>
      </c>
      <c r="F25" s="1">
        <v>400</v>
      </c>
    </row>
    <row r="33" spans="1:6" ht="13.5" thickBot="1">
      <c r="F33" s="12">
        <f>SUM(F20:F32)</f>
        <v>400</v>
      </c>
    </row>
    <row r="34" spans="1:6" ht="13.5" thickTop="1"/>
    <row r="35" spans="1:6" ht="20.100000000000001" customHeight="1">
      <c r="A35" s="10" t="s">
        <v>217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1-000000000000}">
  <sheetPr codeName="Sheet104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689</v>
      </c>
    </row>
    <row r="10" spans="1:6">
      <c r="A10" s="1" t="s">
        <v>688</v>
      </c>
      <c r="D10" s="21" t="s">
        <v>21</v>
      </c>
      <c r="E10" s="21" t="s">
        <v>687</v>
      </c>
    </row>
    <row r="11" spans="1:6">
      <c r="A11" s="1" t="s">
        <v>686</v>
      </c>
      <c r="D11" s="21" t="s">
        <v>19</v>
      </c>
      <c r="E11" s="21" t="s">
        <v>18</v>
      </c>
    </row>
    <row r="12" spans="1:6">
      <c r="A12" s="1" t="s">
        <v>685</v>
      </c>
      <c r="D12" s="21" t="s">
        <v>17</v>
      </c>
      <c r="E12" s="21" t="s">
        <v>438</v>
      </c>
    </row>
    <row r="13" spans="1:6">
      <c r="A13" s="1" t="s">
        <v>684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436</v>
      </c>
    </row>
    <row r="20" spans="1:6">
      <c r="C20" s="14" t="s">
        <v>435</v>
      </c>
    </row>
    <row r="22" spans="1:6">
      <c r="A22" s="1" t="s">
        <v>683</v>
      </c>
      <c r="B22" s="8"/>
      <c r="C22" s="1" t="s">
        <v>677</v>
      </c>
      <c r="D22" s="1" t="s">
        <v>682</v>
      </c>
    </row>
    <row r="23" spans="1:6">
      <c r="A23" s="1" t="s">
        <v>681</v>
      </c>
      <c r="C23" s="1" t="s">
        <v>677</v>
      </c>
      <c r="D23" s="1" t="s">
        <v>679</v>
      </c>
    </row>
    <row r="24" spans="1:6">
      <c r="A24" s="1" t="s">
        <v>680</v>
      </c>
      <c r="C24" s="1" t="s">
        <v>677</v>
      </c>
      <c r="D24" s="1" t="s">
        <v>679</v>
      </c>
    </row>
    <row r="25" spans="1:6">
      <c r="A25" s="1" t="s">
        <v>678</v>
      </c>
      <c r="C25" s="1" t="s">
        <v>677</v>
      </c>
      <c r="D25" s="1" t="s">
        <v>676</v>
      </c>
    </row>
    <row r="26" spans="1:6" ht="13.5" thickBot="1">
      <c r="C26" s="8"/>
      <c r="D26" s="12" t="s">
        <v>675</v>
      </c>
      <c r="E26" s="1" t="s">
        <v>674</v>
      </c>
      <c r="F26" s="1">
        <v>15876.08</v>
      </c>
    </row>
    <row r="27" spans="1:6" ht="13.5" thickTop="1">
      <c r="B27" s="8"/>
    </row>
    <row r="28" spans="1:6">
      <c r="B28" s="8"/>
      <c r="C28" s="1" t="s">
        <v>410</v>
      </c>
      <c r="F28" s="1">
        <v>10</v>
      </c>
    </row>
    <row r="33" spans="1:6" ht="13.5" thickBot="1">
      <c r="F33" s="12">
        <f>SUM(F20:F32)</f>
        <v>15886.08</v>
      </c>
    </row>
    <row r="34" spans="1:6" ht="13.5" thickTop="1"/>
    <row r="35" spans="1:6" ht="20.100000000000001" customHeight="1">
      <c r="A35" s="10" t="s">
        <v>673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1-000000000000}">
  <sheetPr codeName="Sheet112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4.7109375" style="1" customWidth="1"/>
    <col min="2" max="2" width="14.42578125" style="1" customWidth="1"/>
    <col min="3" max="3" width="22.42578125" style="1" customWidth="1"/>
    <col min="4" max="4" width="10.85546875" style="1" customWidth="1"/>
    <col min="5" max="5" width="10.7109375" style="1" customWidth="1"/>
    <col min="6" max="6" width="13.71093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699</v>
      </c>
    </row>
    <row r="10" spans="1:6">
      <c r="A10" s="13" t="s">
        <v>698</v>
      </c>
      <c r="D10" s="21" t="s">
        <v>21</v>
      </c>
      <c r="E10" s="21" t="s">
        <v>27</v>
      </c>
    </row>
    <row r="11" spans="1:6">
      <c r="A11" s="13" t="s">
        <v>697</v>
      </c>
      <c r="D11" s="21" t="s">
        <v>19</v>
      </c>
      <c r="E11" s="21" t="s">
        <v>18</v>
      </c>
    </row>
    <row r="12" spans="1:6">
      <c r="A12" s="13" t="s">
        <v>696</v>
      </c>
      <c r="D12" s="21" t="s">
        <v>17</v>
      </c>
      <c r="E12" s="20" t="s">
        <v>695</v>
      </c>
    </row>
    <row r="13" spans="1:6">
      <c r="A13" s="13"/>
    </row>
    <row r="14" spans="1:6">
      <c r="A14" s="13" t="s">
        <v>694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8" spans="1:6">
      <c r="A18" s="36"/>
    </row>
    <row r="19" spans="1:6">
      <c r="A19" s="36"/>
      <c r="C19" s="14" t="s">
        <v>693</v>
      </c>
    </row>
    <row r="20" spans="1:6">
      <c r="A20" s="38"/>
      <c r="B20" s="13"/>
    </row>
    <row r="21" spans="1:6">
      <c r="A21" s="38">
        <v>40593</v>
      </c>
      <c r="B21" s="56" t="s">
        <v>692</v>
      </c>
      <c r="C21" s="13" t="s">
        <v>691</v>
      </c>
      <c r="F21" s="37">
        <v>640</v>
      </c>
    </row>
    <row r="22" spans="1:6">
      <c r="A22" s="36"/>
      <c r="C22" s="13"/>
      <c r="F22" s="37"/>
    </row>
    <row r="23" spans="1:6">
      <c r="A23" s="36"/>
      <c r="C23" s="13"/>
      <c r="F23" s="37"/>
    </row>
    <row r="24" spans="1:6">
      <c r="A24" s="36"/>
      <c r="B24" s="8"/>
      <c r="C24" s="13"/>
      <c r="F24" s="37"/>
    </row>
    <row r="25" spans="1:6">
      <c r="A25" s="36"/>
      <c r="B25" s="8"/>
      <c r="C25" s="13"/>
      <c r="F25" s="37"/>
    </row>
    <row r="26" spans="1:6">
      <c r="A26" s="36"/>
      <c r="B26" s="8"/>
      <c r="C26" s="13"/>
    </row>
    <row r="27" spans="1:6">
      <c r="A27" s="36"/>
    </row>
    <row r="28" spans="1:6">
      <c r="A28" s="36"/>
      <c r="C28" s="13"/>
    </row>
    <row r="33" spans="1:6" ht="13.5" thickBot="1">
      <c r="F33" s="33">
        <f>SUM(F20:F32)</f>
        <v>640</v>
      </c>
    </row>
    <row r="34" spans="1:6" ht="13.5" thickTop="1"/>
    <row r="35" spans="1:6" ht="20.100000000000001" customHeight="1">
      <c r="A35" s="11" t="s">
        <v>690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52</v>
      </c>
      <c r="C40" s="7"/>
    </row>
    <row r="41" spans="1:6">
      <c r="A41" s="35"/>
      <c r="B41" s="35"/>
    </row>
    <row r="43" spans="1:6">
      <c r="A43" s="6" t="s">
        <v>8</v>
      </c>
      <c r="D43" s="6" t="s">
        <v>7</v>
      </c>
      <c r="F43" s="5"/>
    </row>
    <row r="47" spans="1:6">
      <c r="A47" s="35" t="s">
        <v>51</v>
      </c>
      <c r="B47" s="35"/>
      <c r="D47" s="35"/>
      <c r="E47" s="35"/>
      <c r="F47" s="35"/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23">
    <pageSetUpPr fitToPage="1"/>
  </sheetPr>
  <dimension ref="A1:H55"/>
  <sheetViews>
    <sheetView topLeftCell="A25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28515625" style="111" customWidth="1"/>
    <col min="4" max="4" width="23.85546875" style="111" customWidth="1"/>
    <col min="5" max="5" width="1.570312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31" t="s">
        <v>3784</v>
      </c>
    </row>
    <row r="10" spans="1:8">
      <c r="A10" s="111" t="s">
        <v>3786</v>
      </c>
      <c r="F10" s="112" t="s">
        <v>1180</v>
      </c>
      <c r="G10" s="143" t="s">
        <v>3765</v>
      </c>
    </row>
    <row r="11" spans="1:8">
      <c r="A11" s="111" t="s">
        <v>3787</v>
      </c>
      <c r="F11" s="112" t="s">
        <v>1181</v>
      </c>
      <c r="G11" s="132" t="s">
        <v>1094</v>
      </c>
    </row>
    <row r="12" spans="1:8">
      <c r="A12" s="111" t="s">
        <v>3788</v>
      </c>
      <c r="F12" s="112" t="s">
        <v>1182</v>
      </c>
      <c r="G12" s="140" t="s">
        <v>3785</v>
      </c>
    </row>
    <row r="13" spans="1:8">
      <c r="A13" s="111" t="s">
        <v>3789</v>
      </c>
    </row>
    <row r="14" spans="1:8">
      <c r="A14" s="111" t="s">
        <v>3790</v>
      </c>
    </row>
    <row r="15" spans="1:8">
      <c r="A15" s="111" t="s">
        <v>3791</v>
      </c>
    </row>
    <row r="16" spans="1:8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3176</v>
      </c>
      <c r="E18" s="2"/>
    </row>
    <row r="19" spans="1:8">
      <c r="D19" s="2"/>
      <c r="E19" s="2"/>
    </row>
    <row r="20" spans="1:8">
      <c r="A20" s="116" t="s">
        <v>3792</v>
      </c>
      <c r="B20" s="116" t="s">
        <v>3793</v>
      </c>
      <c r="D20" s="111" t="s">
        <v>3794</v>
      </c>
      <c r="E20" s="2"/>
      <c r="H20" s="111">
        <v>15000</v>
      </c>
    </row>
    <row r="21" spans="1:8">
      <c r="D21" s="111" t="s">
        <v>1814</v>
      </c>
      <c r="H21" s="111">
        <f>H20*6%</f>
        <v>900</v>
      </c>
    </row>
    <row r="22" spans="1:8">
      <c r="B22" s="121"/>
      <c r="C22" s="121"/>
      <c r="H22" s="149"/>
    </row>
    <row r="23" spans="1:8">
      <c r="D23" s="120"/>
      <c r="E23" s="120"/>
    </row>
    <row r="24" spans="1:8">
      <c r="D24" s="120"/>
      <c r="E24" s="120"/>
    </row>
    <row r="28" spans="1:8">
      <c r="B28" s="121"/>
      <c r="C28" s="121"/>
      <c r="H28" s="149"/>
    </row>
    <row r="29" spans="1:8">
      <c r="D29" s="120"/>
      <c r="E29" s="120"/>
    </row>
    <row r="30" spans="1:8">
      <c r="D30" s="120"/>
      <c r="E30" s="120"/>
    </row>
    <row r="31" spans="1:8">
      <c r="D31" s="2"/>
      <c r="E31" s="2"/>
    </row>
    <row r="36" spans="1:8" ht="13.5" thickBot="1">
      <c r="H36" s="127">
        <f>SUM(H19:H35)</f>
        <v>15900</v>
      </c>
    </row>
    <row r="37" spans="1:8" ht="13.5" thickTop="1"/>
    <row r="38" spans="1:8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Fifteen Thousand Nine Hundred and NO/100 -----------</v>
      </c>
      <c r="C38" s="202"/>
      <c r="D38" s="119"/>
      <c r="E38" s="119"/>
      <c r="F38" s="119"/>
      <c r="G38" s="119"/>
      <c r="H38" s="119"/>
    </row>
    <row r="39" spans="1:8">
      <c r="A39" s="120" t="s">
        <v>11</v>
      </c>
    </row>
    <row r="40" spans="1:8" ht="25.5">
      <c r="A40" s="126" t="s">
        <v>10</v>
      </c>
      <c r="F40" s="265" t="s">
        <v>2894</v>
      </c>
      <c r="G40" s="266"/>
      <c r="H40" s="267"/>
    </row>
    <row r="43" spans="1:8">
      <c r="A43" s="111" t="s">
        <v>52</v>
      </c>
      <c r="D43" s="121"/>
      <c r="E43" s="121"/>
    </row>
    <row r="44" spans="1:8">
      <c r="A44" s="122"/>
      <c r="B44" s="122"/>
    </row>
    <row r="46" spans="1:8">
      <c r="A46" s="123" t="s">
        <v>8</v>
      </c>
      <c r="D46" s="123" t="s">
        <v>8</v>
      </c>
      <c r="F46" s="123" t="s">
        <v>7</v>
      </c>
      <c r="H46" s="124"/>
    </row>
    <row r="50" spans="1:8">
      <c r="A50" s="122" t="s">
        <v>51</v>
      </c>
      <c r="B50" s="122"/>
      <c r="D50" s="122" t="s">
        <v>51</v>
      </c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F52" s="111" t="s">
        <v>2</v>
      </c>
    </row>
    <row r="54" spans="1:8">
      <c r="F54" s="2" t="s">
        <v>1</v>
      </c>
    </row>
    <row r="55" spans="1:8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4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1-000000000000}">
  <sheetPr codeName="Sheet113">
    <pageSetUpPr fitToPage="1"/>
  </sheetPr>
  <dimension ref="A1:I55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28515625" style="111" customWidth="1"/>
    <col min="4" max="4" width="23.85546875" style="111" customWidth="1"/>
    <col min="5" max="5" width="1.570312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11" t="s">
        <v>4415</v>
      </c>
    </row>
    <row r="10" spans="1:8">
      <c r="A10" s="111" t="s">
        <v>700</v>
      </c>
      <c r="F10" s="112" t="s">
        <v>1180</v>
      </c>
      <c r="G10" s="112" t="s">
        <v>4417</v>
      </c>
    </row>
    <row r="11" spans="1:8">
      <c r="A11" s="111" t="s">
        <v>1192</v>
      </c>
      <c r="F11" s="112" t="s">
        <v>1181</v>
      </c>
      <c r="G11" s="112" t="s">
        <v>1094</v>
      </c>
    </row>
    <row r="12" spans="1:8">
      <c r="F12" s="112" t="s">
        <v>1182</v>
      </c>
      <c r="G12" s="120" t="s">
        <v>4416</v>
      </c>
    </row>
    <row r="13" spans="1:8">
      <c r="G13" s="131"/>
    </row>
    <row r="16" spans="1:8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9">
      <c r="A18" s="116"/>
      <c r="B18" s="241"/>
      <c r="D18" s="2" t="s">
        <v>4418</v>
      </c>
    </row>
    <row r="19" spans="1:9">
      <c r="A19" s="116"/>
      <c r="B19" s="241"/>
      <c r="D19" s="2" t="s">
        <v>4419</v>
      </c>
    </row>
    <row r="20" spans="1:9">
      <c r="B20" s="314"/>
      <c r="C20" s="2"/>
      <c r="D20" s="2" t="s">
        <v>4356</v>
      </c>
    </row>
    <row r="21" spans="1:9">
      <c r="A21" s="111" t="s">
        <v>3908</v>
      </c>
      <c r="B21" s="313"/>
    </row>
    <row r="22" spans="1:9">
      <c r="A22" s="120" t="s">
        <v>4420</v>
      </c>
      <c r="B22" s="241"/>
      <c r="D22" s="111" t="s">
        <v>4421</v>
      </c>
      <c r="H22" s="111">
        <f>500*11</f>
        <v>5500</v>
      </c>
      <c r="I22" s="149"/>
    </row>
    <row r="23" spans="1:9">
      <c r="I23" s="149"/>
    </row>
    <row r="24" spans="1:9">
      <c r="I24" s="149"/>
    </row>
    <row r="25" spans="1:9">
      <c r="I25" s="149"/>
    </row>
    <row r="26" spans="1:9">
      <c r="I26" s="149"/>
    </row>
    <row r="28" spans="1:9">
      <c r="B28" s="121"/>
      <c r="I28" s="149"/>
    </row>
    <row r="29" spans="1:9">
      <c r="E29" s="120"/>
    </row>
    <row r="30" spans="1:9">
      <c r="E30" s="120"/>
    </row>
    <row r="31" spans="1:9">
      <c r="E31" s="2"/>
    </row>
    <row r="36" spans="1:8" ht="13.5" thickBot="1">
      <c r="H36" s="127">
        <f>SUM(H19:H35)</f>
        <v>5500</v>
      </c>
    </row>
    <row r="37" spans="1:8" ht="13.5" thickTop="1"/>
    <row r="38" spans="1:8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Five Thousand Five Hundred and NO/100 -----------</v>
      </c>
      <c r="C38" s="202"/>
      <c r="D38" s="119"/>
      <c r="E38" s="119"/>
      <c r="F38" s="119"/>
      <c r="G38" s="119"/>
      <c r="H38" s="119"/>
    </row>
    <row r="39" spans="1:8">
      <c r="A39" s="120" t="s">
        <v>11</v>
      </c>
    </row>
    <row r="40" spans="1:8" ht="25.5">
      <c r="A40" s="126" t="s">
        <v>10</v>
      </c>
      <c r="F40" s="265" t="s">
        <v>2894</v>
      </c>
      <c r="G40" s="266"/>
      <c r="H40" s="267"/>
    </row>
    <row r="43" spans="1:8">
      <c r="A43" s="111" t="s">
        <v>52</v>
      </c>
      <c r="D43" s="121"/>
      <c r="E43" s="121"/>
    </row>
    <row r="44" spans="1:8">
      <c r="A44" s="122"/>
      <c r="B44" s="122"/>
    </row>
    <row r="46" spans="1:8">
      <c r="A46" s="123" t="s">
        <v>8</v>
      </c>
      <c r="D46" s="123"/>
      <c r="F46" s="123" t="s">
        <v>7</v>
      </c>
      <c r="H46" s="124"/>
    </row>
    <row r="50" spans="1:8">
      <c r="A50" s="122" t="s">
        <v>51</v>
      </c>
      <c r="B50" s="122"/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/>
      <c r="F51" s="126" t="s">
        <v>3</v>
      </c>
    </row>
    <row r="52" spans="1:8">
      <c r="F52" s="111" t="s">
        <v>2</v>
      </c>
    </row>
    <row r="54" spans="1:8">
      <c r="F54" s="2" t="s">
        <v>1</v>
      </c>
    </row>
    <row r="55" spans="1:8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4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1-000000000000}">
  <sheetPr codeName="Sheet142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3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26" t="s">
        <v>1228</v>
      </c>
      <c r="F9" s="111"/>
    </row>
    <row r="10" spans="1:6">
      <c r="A10" s="111" t="s">
        <v>1224</v>
      </c>
      <c r="B10" s="111"/>
      <c r="C10" s="111"/>
      <c r="D10" s="112" t="s">
        <v>1162</v>
      </c>
      <c r="E10" s="160" t="s">
        <v>1223</v>
      </c>
      <c r="F10" s="111"/>
    </row>
    <row r="11" spans="1:6">
      <c r="A11" s="111" t="s">
        <v>1225</v>
      </c>
      <c r="B11" s="111"/>
      <c r="C11" s="111"/>
      <c r="D11" s="112" t="s">
        <v>1163</v>
      </c>
      <c r="E11" s="160" t="s">
        <v>1094</v>
      </c>
      <c r="F11" s="111"/>
    </row>
    <row r="12" spans="1:6">
      <c r="A12" s="111" t="s">
        <v>1158</v>
      </c>
      <c r="B12" s="111"/>
      <c r="C12" s="111"/>
      <c r="D12" s="112" t="s">
        <v>1096</v>
      </c>
      <c r="E12" s="160" t="s">
        <v>1229</v>
      </c>
      <c r="F12" s="111"/>
    </row>
    <row r="13" spans="1:6">
      <c r="A13" s="111" t="s">
        <v>1226</v>
      </c>
      <c r="B13" s="111" t="s">
        <v>1227</v>
      </c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111"/>
      <c r="D18" s="111"/>
      <c r="E18" s="111"/>
      <c r="F18" s="111"/>
    </row>
    <row r="19" spans="1:6">
      <c r="A19" s="116" t="s">
        <v>1230</v>
      </c>
      <c r="B19" s="116" t="s">
        <v>1231</v>
      </c>
      <c r="C19" s="111" t="s">
        <v>1232</v>
      </c>
      <c r="D19" s="111"/>
      <c r="E19" s="111"/>
      <c r="F19" s="111">
        <v>156.5</v>
      </c>
    </row>
    <row r="20" spans="1:6">
      <c r="A20" s="111"/>
      <c r="B20" s="111"/>
      <c r="C20" s="111"/>
      <c r="D20" s="111"/>
      <c r="E20" s="111"/>
      <c r="F20" s="111"/>
    </row>
    <row r="21" spans="1:6">
      <c r="A21" s="111"/>
      <c r="B21" s="111"/>
      <c r="C21" s="111"/>
      <c r="D21" s="111"/>
      <c r="E21" s="111"/>
      <c r="F21" s="111"/>
    </row>
    <row r="22" spans="1:6">
      <c r="A22" s="111"/>
      <c r="B22" s="111"/>
      <c r="C22" s="111"/>
      <c r="D22" s="111"/>
      <c r="E22" s="111"/>
      <c r="F22" s="111"/>
    </row>
    <row r="23" spans="1:6">
      <c r="A23" s="111"/>
      <c r="B23" s="111"/>
      <c r="C23" s="111"/>
      <c r="D23" s="111"/>
      <c r="E23" s="111"/>
      <c r="F23" s="111"/>
    </row>
    <row r="24" spans="1:6">
      <c r="A24" s="111"/>
      <c r="B24" s="111"/>
      <c r="C24" s="111"/>
      <c r="D24" s="111"/>
      <c r="E24" s="111"/>
      <c r="F24" s="111"/>
    </row>
    <row r="25" spans="1:6">
      <c r="A25" s="111"/>
      <c r="B25" s="111"/>
      <c r="C25" s="111"/>
      <c r="D25" s="111"/>
      <c r="E25" s="111"/>
      <c r="F25" s="111"/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1233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1-000000000000}">
  <sheetPr codeName="Sheet227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140625" style="111" customWidth="1"/>
    <col min="4" max="4" width="22.42578125" style="111" customWidth="1"/>
    <col min="5" max="5" width="0.8554687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32" t="s">
        <v>6083</v>
      </c>
    </row>
    <row r="10" spans="1:8">
      <c r="A10" s="111" t="s">
        <v>5656</v>
      </c>
      <c r="F10" s="112" t="s">
        <v>1180</v>
      </c>
      <c r="G10" s="132" t="s">
        <v>6082</v>
      </c>
    </row>
    <row r="11" spans="1:8">
      <c r="A11" s="111" t="s">
        <v>5657</v>
      </c>
      <c r="F11" s="112" t="s">
        <v>1181</v>
      </c>
      <c r="G11" s="132" t="s">
        <v>1094</v>
      </c>
    </row>
    <row r="12" spans="1:8">
      <c r="A12" s="111" t="s">
        <v>1308</v>
      </c>
      <c r="F12" s="112" t="s">
        <v>1182</v>
      </c>
      <c r="G12" s="111" t="s">
        <v>6084</v>
      </c>
    </row>
    <row r="13" spans="1:8">
      <c r="A13" s="111" t="s">
        <v>1829</v>
      </c>
      <c r="G13" s="111" t="s">
        <v>6048</v>
      </c>
    </row>
    <row r="14" spans="1:8">
      <c r="A14" s="111" t="s">
        <v>1830</v>
      </c>
    </row>
    <row r="16" spans="1:8" s="15" customFormat="1" ht="20.100000000000001" customHeight="1">
      <c r="A16" s="18" t="s">
        <v>1193</v>
      </c>
      <c r="B16" s="129" t="s">
        <v>1098</v>
      </c>
      <c r="C16" s="454"/>
      <c r="D16" s="19" t="s">
        <v>14</v>
      </c>
      <c r="E16" s="19"/>
      <c r="F16" s="18"/>
      <c r="G16" s="17"/>
      <c r="H16" s="16" t="s">
        <v>13</v>
      </c>
    </row>
    <row r="18" spans="1:8">
      <c r="A18" s="116"/>
      <c r="B18" s="121"/>
      <c r="C18" s="121"/>
      <c r="D18" s="168" t="s">
        <v>6085</v>
      </c>
      <c r="E18" s="168"/>
    </row>
    <row r="20" spans="1:8">
      <c r="A20" s="116" t="s">
        <v>6086</v>
      </c>
      <c r="B20" s="116" t="s">
        <v>6087</v>
      </c>
      <c r="C20" s="116"/>
      <c r="D20" s="111" t="s">
        <v>6088</v>
      </c>
      <c r="H20" s="111">
        <v>330</v>
      </c>
    </row>
    <row r="22" spans="1:8">
      <c r="A22" s="116"/>
      <c r="B22" s="121"/>
      <c r="C22" s="121"/>
    </row>
    <row r="23" spans="1:8">
      <c r="D23" s="2"/>
      <c r="E23" s="2"/>
    </row>
    <row r="24" spans="1:8">
      <c r="A24" s="116"/>
    </row>
    <row r="25" spans="1:8">
      <c r="A25" s="116"/>
      <c r="B25" s="116"/>
      <c r="C25" s="116"/>
      <c r="H25" s="149"/>
    </row>
    <row r="29" spans="1:8">
      <c r="D29" s="2"/>
      <c r="E29" s="2"/>
    </row>
    <row r="31" spans="1:8">
      <c r="A31" s="116"/>
      <c r="B31" s="116"/>
      <c r="C31" s="116"/>
    </row>
    <row r="35" spans="1:8" ht="13.5" thickBot="1">
      <c r="H35" s="127">
        <f>SUM(H20:H34)</f>
        <v>330</v>
      </c>
    </row>
    <row r="36" spans="1:8" ht="13.5" thickTop="1"/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Hundred Thirty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11" t="s">
        <v>10</v>
      </c>
      <c r="F39" s="265" t="s">
        <v>2894</v>
      </c>
      <c r="G39" s="266"/>
      <c r="H39" s="267"/>
    </row>
    <row r="41" spans="1:8">
      <c r="A41" s="126"/>
    </row>
    <row r="42" spans="1:8">
      <c r="A42" s="111" t="s">
        <v>52</v>
      </c>
      <c r="D42" s="121"/>
      <c r="E42" s="121"/>
    </row>
    <row r="43" spans="1:8">
      <c r="A43" s="122"/>
      <c r="B43" s="122"/>
      <c r="C43" s="433"/>
    </row>
    <row r="45" spans="1:8">
      <c r="A45" s="123" t="s">
        <v>8</v>
      </c>
      <c r="D45" s="123" t="s">
        <v>8</v>
      </c>
      <c r="F45" s="123" t="s">
        <v>7</v>
      </c>
      <c r="H45" s="124"/>
    </row>
    <row r="49" spans="1:8">
      <c r="A49" s="122" t="s">
        <v>51</v>
      </c>
      <c r="B49" s="122"/>
      <c r="C49" s="433"/>
      <c r="D49" s="122" t="s">
        <v>51</v>
      </c>
      <c r="F49" s="122"/>
      <c r="G49" s="122"/>
      <c r="H49" s="122"/>
    </row>
    <row r="50" spans="1:8" s="126" customFormat="1" ht="17.100000000000001" customHeight="1">
      <c r="A50" s="151" t="s">
        <v>2948</v>
      </c>
      <c r="B50" s="125"/>
      <c r="C50" s="125"/>
      <c r="D50" s="151" t="s">
        <v>103</v>
      </c>
      <c r="F50" s="126" t="s">
        <v>3</v>
      </c>
    </row>
    <row r="51" spans="1:8">
      <c r="F51" s="111" t="s">
        <v>2</v>
      </c>
    </row>
    <row r="52" spans="1:8">
      <c r="A52" s="151"/>
    </row>
    <row r="53" spans="1:8">
      <c r="F53" s="2" t="s">
        <v>1</v>
      </c>
    </row>
    <row r="54" spans="1:8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4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1-000000000000}">
  <sheetPr codeName="Sheet228">
    <pageSetUpPr fitToPage="1"/>
  </sheetPr>
  <dimension ref="A1:F56"/>
  <sheetViews>
    <sheetView zoomScaleSheetLayoutView="100" workbookViewId="0">
      <selection activeCell="G9" sqref="G9:G13"/>
    </sheetView>
  </sheetViews>
  <sheetFormatPr defaultRowHeight="12.75"/>
  <cols>
    <col min="1" max="1" width="15.85546875" style="50" customWidth="1"/>
    <col min="2" max="2" width="15" style="50" customWidth="1"/>
    <col min="3" max="3" width="23" style="50" customWidth="1"/>
    <col min="4" max="4" width="12" style="50" customWidth="1"/>
    <col min="5" max="5" width="8.7109375" style="50" customWidth="1"/>
    <col min="6" max="6" width="12.7109375" style="50" customWidth="1"/>
    <col min="7" max="16384" width="9.140625" style="50"/>
  </cols>
  <sheetData>
    <row r="1" spans="1:6" s="111" customFormat="1" ht="15">
      <c r="A1" s="528" t="s">
        <v>26</v>
      </c>
      <c r="B1" s="528"/>
      <c r="C1" s="528"/>
      <c r="D1" s="528"/>
      <c r="E1" s="528"/>
      <c r="F1" s="528"/>
    </row>
    <row r="2" spans="1:6" s="111" customFormat="1" ht="15">
      <c r="A2" s="528" t="s">
        <v>25</v>
      </c>
      <c r="B2" s="528"/>
      <c r="C2" s="528"/>
      <c r="D2" s="528"/>
      <c r="E2" s="528"/>
      <c r="F2" s="528"/>
    </row>
    <row r="3" spans="1:6" s="111" customFormat="1" ht="15">
      <c r="A3" s="528" t="s">
        <v>1480</v>
      </c>
      <c r="B3" s="528"/>
      <c r="C3" s="528"/>
      <c r="D3" s="528"/>
      <c r="E3" s="528"/>
      <c r="F3" s="528"/>
    </row>
    <row r="4" spans="1:6" s="111" customFormat="1" ht="15">
      <c r="A4" s="528" t="s">
        <v>1481</v>
      </c>
      <c r="B4" s="528"/>
      <c r="C4" s="528"/>
      <c r="D4" s="528"/>
      <c r="E4" s="528"/>
      <c r="F4" s="528"/>
    </row>
    <row r="5" spans="1:6" s="111" customFormat="1"/>
    <row r="6" spans="1:6" s="111" customFormat="1"/>
    <row r="7" spans="1:6" s="111" customFormat="1"/>
    <row r="8" spans="1:6" s="111" customFormat="1">
      <c r="A8" s="111" t="s">
        <v>24</v>
      </c>
      <c r="D8" s="22" t="s">
        <v>23</v>
      </c>
    </row>
    <row r="9" spans="1:6" s="111" customFormat="1">
      <c r="D9" s="112" t="s">
        <v>1123</v>
      </c>
      <c r="E9" s="111" t="s">
        <v>1796</v>
      </c>
    </row>
    <row r="10" spans="1:6" s="111" customFormat="1">
      <c r="A10" s="111" t="s">
        <v>1798</v>
      </c>
      <c r="D10" s="112" t="s">
        <v>1124</v>
      </c>
      <c r="E10" s="166" t="s">
        <v>1797</v>
      </c>
    </row>
    <row r="11" spans="1:6" s="111" customFormat="1">
      <c r="A11" s="111" t="s">
        <v>1799</v>
      </c>
      <c r="D11" s="112" t="s">
        <v>1125</v>
      </c>
      <c r="E11" s="112" t="s">
        <v>1094</v>
      </c>
    </row>
    <row r="12" spans="1:6" s="111" customFormat="1">
      <c r="A12" s="111" t="s">
        <v>1800</v>
      </c>
      <c r="D12" s="112" t="s">
        <v>1126</v>
      </c>
      <c r="E12" s="112" t="s">
        <v>1270</v>
      </c>
    </row>
    <row r="13" spans="1:6" s="111" customFormat="1">
      <c r="A13" s="111" t="s">
        <v>1801</v>
      </c>
      <c r="D13" s="112"/>
      <c r="E13" s="112"/>
    </row>
    <row r="14" spans="1:6" s="111" customFormat="1"/>
    <row r="15" spans="1:6" s="111" customFormat="1"/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 s="111" customFormat="1"/>
    <row r="18" spans="1:6" s="111" customFormat="1">
      <c r="C18" s="2" t="s">
        <v>1804</v>
      </c>
    </row>
    <row r="19" spans="1:6" s="111" customFormat="1">
      <c r="B19" s="121"/>
      <c r="C19" s="2"/>
    </row>
    <row r="20" spans="1:6" s="111" customFormat="1">
      <c r="A20" s="116" t="s">
        <v>1802</v>
      </c>
      <c r="B20" s="121" t="s">
        <v>1803</v>
      </c>
      <c r="C20" s="111" t="s">
        <v>1805</v>
      </c>
      <c r="F20" s="111">
        <f>7920*3.134</f>
        <v>24821.279999999999</v>
      </c>
    </row>
    <row r="21" spans="1:6" s="111" customFormat="1">
      <c r="A21" s="161"/>
      <c r="B21" s="121"/>
    </row>
    <row r="22" spans="1:6" s="111" customFormat="1">
      <c r="A22" s="161"/>
      <c r="B22" s="121"/>
      <c r="C22" s="111" t="s">
        <v>1806</v>
      </c>
      <c r="F22" s="111">
        <f>396*3.134</f>
        <v>1241.0639999999999</v>
      </c>
    </row>
    <row r="23" spans="1:6" s="111" customFormat="1">
      <c r="B23" s="116"/>
    </row>
    <row r="24" spans="1:6" s="111" customFormat="1">
      <c r="B24" s="116"/>
      <c r="C24" s="111" t="s">
        <v>1807</v>
      </c>
    </row>
    <row r="25" spans="1:6" s="111" customFormat="1">
      <c r="B25" s="121"/>
      <c r="C25" s="2"/>
    </row>
    <row r="26" spans="1:6" s="111" customFormat="1">
      <c r="A26" s="116" t="s">
        <v>1802</v>
      </c>
      <c r="B26" s="121" t="s">
        <v>1808</v>
      </c>
      <c r="C26" s="111" t="s">
        <v>1809</v>
      </c>
      <c r="F26" s="111">
        <f>840*3.134</f>
        <v>2632.56</v>
      </c>
    </row>
    <row r="27" spans="1:6" s="111" customFormat="1">
      <c r="A27" s="116"/>
      <c r="B27" s="121"/>
    </row>
    <row r="28" spans="1:6" s="111" customFormat="1">
      <c r="C28" s="111" t="s">
        <v>1810</v>
      </c>
    </row>
    <row r="29" spans="1:6" s="111" customFormat="1">
      <c r="B29" s="116"/>
    </row>
    <row r="30" spans="1:6" s="111" customFormat="1">
      <c r="B30" s="116"/>
    </row>
    <row r="31" spans="1:6" s="111" customFormat="1">
      <c r="B31" s="120"/>
    </row>
    <row r="32" spans="1:6" s="111" customFormat="1">
      <c r="B32" s="120"/>
    </row>
    <row r="33" spans="1:6" s="111" customFormat="1" ht="13.5" thickBot="1">
      <c r="B33" s="120"/>
      <c r="F33" s="117">
        <f>SUM(F20:F32)</f>
        <v>28694.903999999999</v>
      </c>
    </row>
    <row r="34" spans="1:6" s="111" customFormat="1" ht="14.25" thickTop="1" thickBot="1">
      <c r="F34" s="127">
        <f>SUM(F20:F33)</f>
        <v>57389.807999999997</v>
      </c>
    </row>
    <row r="35" spans="1:6" s="111" customFormat="1" ht="13.5" thickTop="1"/>
    <row r="36" spans="1:6" s="111" customFormat="1" ht="20.100000000000001" customHeight="1">
      <c r="A36" s="118" t="s">
        <v>204</v>
      </c>
      <c r="B36" s="118" t="s">
        <v>1811</v>
      </c>
      <c r="C36" s="128"/>
      <c r="D36" s="119"/>
      <c r="E36" s="119"/>
      <c r="F36" s="119"/>
    </row>
    <row r="37" spans="1:6" s="111" customFormat="1">
      <c r="A37" s="120" t="s">
        <v>11</v>
      </c>
    </row>
    <row r="38" spans="1:6" s="111" customFormat="1">
      <c r="A38" s="111" t="s">
        <v>10</v>
      </c>
    </row>
    <row r="39" spans="1:6" s="111" customFormat="1" ht="25.5">
      <c r="A39" s="126"/>
      <c r="D39" s="265" t="s">
        <v>2894</v>
      </c>
      <c r="E39" s="266"/>
      <c r="F39" s="267"/>
    </row>
    <row r="40" spans="1:6" s="111" customFormat="1"/>
    <row r="41" spans="1:6">
      <c r="C41" s="78"/>
    </row>
    <row r="42" spans="1:6">
      <c r="A42" s="130"/>
      <c r="B42" s="130"/>
    </row>
    <row r="43" spans="1:6">
      <c r="D43" s="111"/>
      <c r="E43" s="111"/>
      <c r="F43" s="111"/>
    </row>
    <row r="44" spans="1:6">
      <c r="A44" s="77" t="s">
        <v>8</v>
      </c>
      <c r="D44" s="123" t="s">
        <v>7</v>
      </c>
      <c r="E44" s="111"/>
      <c r="F44" s="124"/>
    </row>
    <row r="45" spans="1:6">
      <c r="D45" s="111"/>
      <c r="E45" s="111"/>
      <c r="F45" s="111"/>
    </row>
    <row r="46" spans="1:6">
      <c r="D46" s="111"/>
      <c r="E46" s="111"/>
      <c r="F46" s="111"/>
    </row>
    <row r="47" spans="1:6">
      <c r="D47" s="111"/>
      <c r="E47" s="111"/>
      <c r="F47" s="111"/>
    </row>
    <row r="48" spans="1:6">
      <c r="A48" s="130"/>
      <c r="B48" s="130"/>
      <c r="D48" s="122"/>
      <c r="E48" s="122"/>
      <c r="F48" s="122"/>
    </row>
    <row r="49" spans="1:6" s="29" customFormat="1" ht="17.100000000000001" customHeight="1">
      <c r="A49" s="76" t="s">
        <v>4</v>
      </c>
      <c r="B49" s="76"/>
      <c r="D49" s="126" t="s">
        <v>3</v>
      </c>
      <c r="E49" s="126"/>
      <c r="F49" s="126"/>
    </row>
    <row r="50" spans="1:6">
      <c r="A50" s="276" t="s">
        <v>2948</v>
      </c>
      <c r="D50" s="111" t="s">
        <v>2</v>
      </c>
      <c r="E50" s="111"/>
      <c r="F50" s="111"/>
    </row>
    <row r="51" spans="1:6">
      <c r="D51" s="111"/>
      <c r="E51" s="111"/>
      <c r="F51" s="111"/>
    </row>
    <row r="52" spans="1:6">
      <c r="D52" s="2" t="s">
        <v>1</v>
      </c>
      <c r="E52" s="111"/>
      <c r="F52" s="111"/>
    </row>
    <row r="53" spans="1:6">
      <c r="D53" s="2" t="s">
        <v>0</v>
      </c>
      <c r="E53" s="111"/>
      <c r="F53" s="111"/>
    </row>
    <row r="54" spans="1:6">
      <c r="D54" s="111"/>
      <c r="E54" s="111"/>
      <c r="F54" s="111"/>
    </row>
    <row r="55" spans="1:6">
      <c r="D55" s="111"/>
      <c r="E55" s="111"/>
      <c r="F55" s="111"/>
    </row>
    <row r="56" spans="1:6"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1-000000000000}">
  <sheetPr codeName="Sheet229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42578125" style="131" customWidth="1"/>
    <col min="2" max="2" width="13.7109375" style="131" customWidth="1"/>
    <col min="3" max="3" width="23" style="131" customWidth="1"/>
    <col min="4" max="4" width="12" style="131" customWidth="1"/>
    <col min="5" max="5" width="10.5703125" style="131" customWidth="1"/>
    <col min="6" max="6" width="13.710937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1481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1110</v>
      </c>
      <c r="E9" s="131" t="s">
        <v>2600</v>
      </c>
    </row>
    <row r="10" spans="1:6">
      <c r="A10" s="131" t="s">
        <v>1821</v>
      </c>
      <c r="D10" s="132" t="s">
        <v>1124</v>
      </c>
      <c r="E10" s="132" t="s">
        <v>2599</v>
      </c>
    </row>
    <row r="11" spans="1:6">
      <c r="A11" s="131" t="s">
        <v>1822</v>
      </c>
      <c r="D11" s="132" t="s">
        <v>1125</v>
      </c>
      <c r="E11" s="132" t="s">
        <v>1094</v>
      </c>
    </row>
    <row r="12" spans="1:6">
      <c r="A12" s="131" t="s">
        <v>1823</v>
      </c>
      <c r="D12" s="132" t="s">
        <v>1096</v>
      </c>
      <c r="E12" s="132" t="s">
        <v>2601</v>
      </c>
    </row>
    <row r="13" spans="1:6">
      <c r="A13" s="131" t="s">
        <v>1287</v>
      </c>
    </row>
    <row r="14" spans="1:6">
      <c r="A14" s="131" t="s">
        <v>1824</v>
      </c>
    </row>
    <row r="16" spans="1:6" s="95" customFormat="1" ht="20.100000000000001" customHeight="1">
      <c r="A16" s="90" t="s">
        <v>1113</v>
      </c>
      <c r="B16" s="90" t="s">
        <v>1114</v>
      </c>
      <c r="C16" s="92" t="s">
        <v>14</v>
      </c>
      <c r="D16" s="90"/>
      <c r="E16" s="91"/>
      <c r="F16" s="94" t="s">
        <v>13</v>
      </c>
    </row>
    <row r="17" spans="1:6">
      <c r="A17" s="135"/>
    </row>
    <row r="18" spans="1:6">
      <c r="C18" s="110"/>
    </row>
    <row r="19" spans="1:6">
      <c r="A19" s="135" t="s">
        <v>1825</v>
      </c>
      <c r="B19" s="201"/>
      <c r="C19" s="131" t="s">
        <v>1827</v>
      </c>
      <c r="F19" s="131">
        <v>145</v>
      </c>
    </row>
    <row r="20" spans="1:6">
      <c r="A20" s="131" t="s">
        <v>1826</v>
      </c>
    </row>
    <row r="21" spans="1:6">
      <c r="C21" s="203" t="s">
        <v>1865</v>
      </c>
    </row>
    <row r="22" spans="1:6">
      <c r="C22" s="131" t="s">
        <v>1866</v>
      </c>
    </row>
    <row r="23" spans="1:6">
      <c r="A23" s="141"/>
    </row>
    <row r="24" spans="1:6">
      <c r="A24" s="158"/>
    </row>
    <row r="25" spans="1:6">
      <c r="A25" s="141"/>
    </row>
    <row r="26" spans="1:6">
      <c r="A26" s="134"/>
    </row>
    <row r="27" spans="1:6">
      <c r="A27" s="134"/>
    </row>
    <row r="28" spans="1:6">
      <c r="A28" s="135"/>
    </row>
    <row r="29" spans="1:6">
      <c r="A29" s="135"/>
    </row>
    <row r="30" spans="1:6">
      <c r="A30" s="135"/>
    </row>
    <row r="31" spans="1:6">
      <c r="A31" s="135"/>
    </row>
    <row r="32" spans="1:6">
      <c r="A32" s="135"/>
    </row>
    <row r="33" spans="1:6" ht="13.5" thickBot="1">
      <c r="A33" s="135"/>
      <c r="F33" s="137">
        <f>SUM(F20:F32)</f>
        <v>0</v>
      </c>
    </row>
    <row r="34" spans="1:6" ht="13.5" thickTop="1">
      <c r="A34" s="135"/>
    </row>
    <row r="35" spans="1:6" ht="20.100000000000001" customHeight="1">
      <c r="A35" s="138" t="s">
        <v>204</v>
      </c>
      <c r="B35" s="138" t="s">
        <v>1828</v>
      </c>
      <c r="C35" s="139"/>
      <c r="D35" s="139"/>
      <c r="E35" s="139"/>
      <c r="F35" s="139"/>
    </row>
    <row r="36" spans="1:6">
      <c r="A36" s="140" t="s">
        <v>11</v>
      </c>
    </row>
    <row r="37" spans="1:6">
      <c r="A37" s="131" t="s">
        <v>10</v>
      </c>
    </row>
    <row r="39" spans="1:6" ht="25.5">
      <c r="A39" s="147"/>
      <c r="D39" s="265" t="s">
        <v>2894</v>
      </c>
      <c r="E39" s="266"/>
      <c r="F39" s="267"/>
    </row>
    <row r="40" spans="1:6">
      <c r="C40" s="141"/>
    </row>
    <row r="42" spans="1:6">
      <c r="A42" s="142"/>
      <c r="B42" s="142"/>
    </row>
    <row r="43" spans="1:6">
      <c r="A43" s="143" t="s">
        <v>8</v>
      </c>
      <c r="D43" s="143" t="s">
        <v>7</v>
      </c>
      <c r="F43" s="141"/>
    </row>
    <row r="47" spans="1:6">
      <c r="A47" s="142"/>
      <c r="B47" s="142"/>
      <c r="D47" s="142"/>
      <c r="E47" s="142"/>
      <c r="F47" s="142"/>
    </row>
    <row r="48" spans="1:6" s="147" customFormat="1" ht="17.100000000000001" customHeight="1">
      <c r="A48" s="146" t="s">
        <v>4</v>
      </c>
      <c r="B48" s="146"/>
      <c r="D48" s="147" t="s">
        <v>3</v>
      </c>
    </row>
    <row r="49" spans="1:4">
      <c r="D49" s="131" t="s">
        <v>2</v>
      </c>
    </row>
    <row r="50" spans="1:4">
      <c r="A50" s="145" t="s">
        <v>2948</v>
      </c>
    </row>
    <row r="51" spans="1:4">
      <c r="D51" s="110" t="s">
        <v>1</v>
      </c>
    </row>
    <row r="52" spans="1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4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1-000000000000}">
  <sheetPr codeName="Sheet205">
    <pageSetUpPr fitToPage="1"/>
  </sheetPr>
  <dimension ref="A1:H55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2.5703125" style="111" customWidth="1"/>
    <col min="3" max="3" width="1.28515625" style="111" customWidth="1"/>
    <col min="4" max="4" width="22.42578125" style="111" customWidth="1"/>
    <col min="5" max="5" width="1.140625" style="111" customWidth="1"/>
    <col min="6" max="6" width="13.140625" style="111" customWidth="1"/>
    <col min="7" max="7" width="10.5703125" style="111" customWidth="1"/>
    <col min="8" max="8" width="13.710937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488" t="s">
        <v>6494</v>
      </c>
    </row>
    <row r="10" spans="1:8">
      <c r="A10" s="111" t="s">
        <v>1779</v>
      </c>
      <c r="F10" s="112" t="s">
        <v>1180</v>
      </c>
      <c r="G10" s="493" t="s">
        <v>6478</v>
      </c>
    </row>
    <row r="11" spans="1:8">
      <c r="A11" s="111" t="s">
        <v>2013</v>
      </c>
      <c r="F11" s="112" t="s">
        <v>1181</v>
      </c>
      <c r="G11" s="489" t="s">
        <v>2023</v>
      </c>
    </row>
    <row r="12" spans="1:8">
      <c r="A12" s="111" t="s">
        <v>1413</v>
      </c>
      <c r="F12" s="112" t="s">
        <v>1182</v>
      </c>
      <c r="G12" s="140" t="s">
        <v>6495</v>
      </c>
    </row>
    <row r="13" spans="1:8">
      <c r="A13" s="111" t="s">
        <v>2014</v>
      </c>
    </row>
    <row r="14" spans="1:8">
      <c r="A14" s="111" t="s">
        <v>2015</v>
      </c>
    </row>
    <row r="16" spans="1:8" s="15" customFormat="1" ht="20.100000000000001" customHeight="1">
      <c r="A16" s="18" t="s">
        <v>1193</v>
      </c>
      <c r="B16" s="129" t="s">
        <v>1098</v>
      </c>
      <c r="C16" s="476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6496</v>
      </c>
      <c r="E18" s="2"/>
    </row>
    <row r="19" spans="1:8">
      <c r="A19" s="121"/>
      <c r="B19" s="121"/>
      <c r="D19" s="2"/>
      <c r="E19" s="2"/>
      <c r="H19" s="149"/>
    </row>
    <row r="20" spans="1:8">
      <c r="A20" s="485" t="s">
        <v>6497</v>
      </c>
      <c r="B20" s="485" t="s">
        <v>6498</v>
      </c>
      <c r="D20" s="111" t="s">
        <v>6499</v>
      </c>
      <c r="H20" s="111">
        <v>10740</v>
      </c>
    </row>
    <row r="21" spans="1:8">
      <c r="A21" s="161"/>
      <c r="B21" s="161"/>
      <c r="C21" s="161"/>
    </row>
    <row r="22" spans="1:8">
      <c r="A22" s="161"/>
      <c r="B22" s="161"/>
      <c r="C22" s="161"/>
    </row>
    <row r="23" spans="1:8">
      <c r="A23" s="161"/>
      <c r="B23" s="161"/>
      <c r="C23" s="161"/>
      <c r="E23" s="2"/>
    </row>
    <row r="25" spans="1:8">
      <c r="A25" s="161"/>
      <c r="B25" s="161"/>
      <c r="C25" s="161"/>
    </row>
    <row r="26" spans="1:8">
      <c r="A26" s="161"/>
      <c r="B26" s="161"/>
      <c r="C26" s="161"/>
    </row>
    <row r="27" spans="1:8">
      <c r="A27" s="161"/>
      <c r="B27" s="161"/>
      <c r="C27" s="161"/>
    </row>
    <row r="28" spans="1:8">
      <c r="A28" s="161"/>
      <c r="B28" s="115"/>
      <c r="C28" s="115"/>
    </row>
    <row r="29" spans="1:8">
      <c r="A29" s="252"/>
      <c r="B29" s="256"/>
      <c r="C29" s="256"/>
      <c r="F29" s="257"/>
      <c r="G29" s="257"/>
    </row>
    <row r="31" spans="1:8">
      <c r="A31" s="161"/>
      <c r="B31" s="115"/>
      <c r="C31" s="115"/>
    </row>
    <row r="32" spans="1:8">
      <c r="A32" s="161"/>
      <c r="B32" s="115"/>
      <c r="C32" s="115"/>
    </row>
    <row r="36" spans="1:8" ht="13.5" thickBot="1">
      <c r="H36" s="127">
        <f>SUM(H18:H34)</f>
        <v>10740</v>
      </c>
    </row>
    <row r="37" spans="1:8" ht="13.5" thickTop="1"/>
    <row r="38" spans="1:8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Ten Thousand Seven Hundred Forty and NO/100 -----------</v>
      </c>
      <c r="C38" s="202"/>
      <c r="D38" s="119"/>
      <c r="E38" s="119"/>
      <c r="F38" s="119"/>
      <c r="G38" s="119"/>
      <c r="H38" s="119"/>
    </row>
    <row r="39" spans="1:8">
      <c r="A39" s="269" t="s">
        <v>11</v>
      </c>
    </row>
    <row r="40" spans="1:8" ht="25.5">
      <c r="A40" s="111" t="s">
        <v>10</v>
      </c>
      <c r="F40" s="265" t="s">
        <v>2894</v>
      </c>
      <c r="G40" s="266"/>
      <c r="H40" s="267"/>
    </row>
    <row r="43" spans="1:8">
      <c r="A43" s="111" t="s">
        <v>52</v>
      </c>
      <c r="D43" s="121"/>
      <c r="E43" s="121"/>
    </row>
    <row r="44" spans="1:8">
      <c r="A44" s="122"/>
      <c r="B44" s="122"/>
      <c r="C44" s="433"/>
    </row>
    <row r="46" spans="1:8">
      <c r="A46" s="123" t="s">
        <v>8</v>
      </c>
      <c r="D46" s="123" t="s">
        <v>8</v>
      </c>
      <c r="F46" s="123" t="s">
        <v>7</v>
      </c>
      <c r="H46" s="124"/>
    </row>
    <row r="50" spans="1:8">
      <c r="A50" s="277"/>
      <c r="B50" s="122"/>
      <c r="C50" s="433"/>
      <c r="D50" s="277"/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F52" s="111" t="s">
        <v>2</v>
      </c>
    </row>
    <row r="54" spans="1:8">
      <c r="F54" s="2" t="s">
        <v>1</v>
      </c>
    </row>
    <row r="55" spans="1:8">
      <c r="F55" s="2" t="s">
        <v>0</v>
      </c>
    </row>
  </sheetData>
  <sortState ref="A20:H36">
    <sortCondition ref="B20:B36"/>
  </sortState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4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1-000000000000}">
  <sheetPr codeName="Sheet182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2473</v>
      </c>
    </row>
    <row r="10" spans="1:6">
      <c r="A10" s="111" t="s">
        <v>1573</v>
      </c>
      <c r="D10" s="112" t="s">
        <v>1180</v>
      </c>
      <c r="E10" s="112" t="s">
        <v>2472</v>
      </c>
    </row>
    <row r="11" spans="1:6">
      <c r="A11" s="111" t="s">
        <v>1574</v>
      </c>
      <c r="D11" s="112" t="s">
        <v>1181</v>
      </c>
      <c r="E11" s="112" t="s">
        <v>1094</v>
      </c>
    </row>
    <row r="12" spans="1:6">
      <c r="A12" s="111" t="s">
        <v>1575</v>
      </c>
      <c r="D12" s="112" t="s">
        <v>1182</v>
      </c>
      <c r="E12" s="112" t="s">
        <v>2474</v>
      </c>
    </row>
    <row r="13" spans="1:6">
      <c r="A13" s="111" t="s">
        <v>1576</v>
      </c>
    </row>
    <row r="14" spans="1:6">
      <c r="A14" s="111" t="s">
        <v>1577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2475</v>
      </c>
    </row>
    <row r="19" spans="1:6">
      <c r="C19" s="2"/>
    </row>
    <row r="20" spans="1:6">
      <c r="A20" s="116" t="s">
        <v>2476</v>
      </c>
      <c r="B20" s="116" t="s">
        <v>2477</v>
      </c>
      <c r="C20" s="111" t="s">
        <v>2478</v>
      </c>
      <c r="F20" s="111">
        <v>80000</v>
      </c>
    </row>
    <row r="21" spans="1:6">
      <c r="A21" s="120"/>
    </row>
    <row r="24" spans="1:6">
      <c r="A24" s="148"/>
      <c r="B24" s="157"/>
      <c r="F24" s="149"/>
    </row>
    <row r="25" spans="1:6">
      <c r="C25" s="2"/>
    </row>
    <row r="27" spans="1:6">
      <c r="A27" s="115"/>
      <c r="B27" s="121"/>
      <c r="F27" s="149"/>
    </row>
    <row r="29" spans="1:6">
      <c r="A29" s="115"/>
      <c r="B29" s="121"/>
      <c r="F29" s="149"/>
    </row>
    <row r="33" spans="1:6" ht="13.5" thickBot="1">
      <c r="F33" s="127">
        <f>SUM(F20:F32)</f>
        <v>80000</v>
      </c>
    </row>
    <row r="34" spans="1:6" ht="13.5" thickTop="1"/>
    <row r="35" spans="1:6" ht="20.100000000000001" customHeight="1">
      <c r="A35" s="118" t="s">
        <v>204</v>
      </c>
      <c r="B35" s="118" t="s">
        <v>2066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1-000000000000}">
  <sheetPr codeName="Sheet183">
    <pageSetUpPr fitToPage="1"/>
  </sheetPr>
  <dimension ref="A1:F52"/>
  <sheetViews>
    <sheetView topLeftCell="A7" workbookViewId="0">
      <selection activeCell="G9" sqref="G9:G13"/>
    </sheetView>
  </sheetViews>
  <sheetFormatPr defaultRowHeight="12.75"/>
  <cols>
    <col min="1" max="1" width="15.42578125" style="111" customWidth="1"/>
    <col min="2" max="2" width="12.42578125" style="111" customWidth="1"/>
    <col min="3" max="3" width="22.42578125" style="111" customWidth="1"/>
    <col min="4" max="4" width="12.140625" style="111" customWidth="1"/>
    <col min="5" max="5" width="9.71093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1221</v>
      </c>
      <c r="E9" s="111" t="s">
        <v>4003</v>
      </c>
    </row>
    <row r="10" spans="1:6">
      <c r="A10" s="111" t="s">
        <v>1622</v>
      </c>
      <c r="D10" s="112" t="s">
        <v>1124</v>
      </c>
      <c r="E10" s="112" t="s">
        <v>4001</v>
      </c>
    </row>
    <row r="11" spans="1:6">
      <c r="A11" s="111" t="s">
        <v>1623</v>
      </c>
      <c r="D11" s="112" t="s">
        <v>1125</v>
      </c>
      <c r="E11" s="112" t="s">
        <v>1094</v>
      </c>
    </row>
    <row r="12" spans="1:6">
      <c r="D12" s="112" t="s">
        <v>1126</v>
      </c>
      <c r="E12" s="120" t="s">
        <v>4004</v>
      </c>
    </row>
    <row r="16" spans="1:6" s="15" customFormat="1" ht="20.100000000000001" customHeight="1">
      <c r="A16" s="18" t="s">
        <v>1113</v>
      </c>
      <c r="B16" s="129" t="s">
        <v>1114</v>
      </c>
      <c r="C16" s="19" t="s">
        <v>14</v>
      </c>
      <c r="D16" s="18"/>
      <c r="E16" s="17"/>
      <c r="F16" s="16" t="s">
        <v>13</v>
      </c>
    </row>
    <row r="18" spans="1:6">
      <c r="C18" s="2" t="s">
        <v>1330</v>
      </c>
    </row>
    <row r="19" spans="1:6">
      <c r="A19" s="120"/>
    </row>
    <row r="20" spans="1:6">
      <c r="A20" s="111" t="s">
        <v>2834</v>
      </c>
      <c r="C20" s="111" t="s">
        <v>4006</v>
      </c>
      <c r="F20" s="111">
        <v>375</v>
      </c>
    </row>
    <row r="21" spans="1:6">
      <c r="A21" s="111" t="s">
        <v>4005</v>
      </c>
      <c r="C21" s="111" t="s">
        <v>4007</v>
      </c>
    </row>
    <row r="22" spans="1:6">
      <c r="A22" s="148"/>
      <c r="B22" s="157"/>
    </row>
    <row r="23" spans="1:6">
      <c r="C23" s="111" t="s">
        <v>1814</v>
      </c>
      <c r="F23" s="111">
        <f>F20*6%</f>
        <v>22.5</v>
      </c>
    </row>
    <row r="24" spans="1:6">
      <c r="F24" s="149"/>
    </row>
    <row r="27" spans="1:6">
      <c r="A27" s="148"/>
    </row>
    <row r="28" spans="1:6">
      <c r="A28" s="148"/>
    </row>
    <row r="33" spans="1:6" ht="13.5" thickBot="1">
      <c r="F33" s="127">
        <f>SUM(F18:F32)</f>
        <v>397.5</v>
      </c>
    </row>
    <row r="34" spans="1:6" ht="13.5" thickTop="1"/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Three Hundred Ninety-Seven and 50/100 -----------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1-000000000000}">
  <sheetPr codeName="Sheet296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15.42578125" style="131" customWidth="1"/>
    <col min="2" max="2" width="12.42578125" style="131" customWidth="1"/>
    <col min="3" max="3" width="21" style="131" customWidth="1"/>
    <col min="4" max="4" width="12.28515625" style="131" customWidth="1"/>
    <col min="5" max="5" width="12.57031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1716</v>
      </c>
      <c r="E9" s="131" t="s">
        <v>2307</v>
      </c>
    </row>
    <row r="10" spans="1:6">
      <c r="A10" s="131" t="s">
        <v>2318</v>
      </c>
      <c r="D10" s="132" t="s">
        <v>1162</v>
      </c>
      <c r="E10" s="132" t="s">
        <v>2306</v>
      </c>
    </row>
    <row r="11" spans="1:6">
      <c r="A11" s="131" t="s">
        <v>2309</v>
      </c>
      <c r="D11" s="132" t="s">
        <v>1163</v>
      </c>
      <c r="E11" s="132" t="s">
        <v>1094</v>
      </c>
    </row>
    <row r="12" spans="1:6">
      <c r="A12" s="131" t="s">
        <v>2310</v>
      </c>
      <c r="D12" s="132" t="s">
        <v>1096</v>
      </c>
      <c r="E12" s="132" t="s">
        <v>2308</v>
      </c>
    </row>
    <row r="13" spans="1:6">
      <c r="A13" s="131" t="s">
        <v>2311</v>
      </c>
    </row>
    <row r="16" spans="1:6" s="95" customFormat="1" ht="20.100000000000001" customHeight="1">
      <c r="A16" s="90" t="s">
        <v>1113</v>
      </c>
      <c r="B16" s="90" t="s">
        <v>1114</v>
      </c>
      <c r="C16" s="92" t="s">
        <v>14</v>
      </c>
      <c r="D16" s="90"/>
      <c r="E16" s="93"/>
      <c r="F16" s="94" t="s">
        <v>13</v>
      </c>
    </row>
    <row r="18" spans="1:6">
      <c r="B18" s="141"/>
      <c r="C18" s="110" t="s">
        <v>2288</v>
      </c>
    </row>
    <row r="19" spans="1:6">
      <c r="B19" s="158"/>
    </row>
    <row r="20" spans="1:6">
      <c r="A20" s="158" t="s">
        <v>2314</v>
      </c>
      <c r="B20" s="158" t="s">
        <v>2315</v>
      </c>
      <c r="C20" s="131" t="s">
        <v>2312</v>
      </c>
      <c r="F20" s="131">
        <v>1070</v>
      </c>
    </row>
    <row r="21" spans="1:6">
      <c r="C21" s="247" t="s">
        <v>2313</v>
      </c>
    </row>
    <row r="22" spans="1:6">
      <c r="B22" s="158"/>
      <c r="C22" s="131" t="s">
        <v>2316</v>
      </c>
      <c r="F22" s="140"/>
    </row>
    <row r="23" spans="1:6">
      <c r="B23" s="141"/>
    </row>
    <row r="24" spans="1:6">
      <c r="B24" s="141"/>
    </row>
    <row r="25" spans="1:6">
      <c r="B25" s="158"/>
    </row>
    <row r="26" spans="1:6">
      <c r="B26" s="141"/>
    </row>
    <row r="27" spans="1:6">
      <c r="B27" s="141"/>
      <c r="F27" s="110"/>
    </row>
    <row r="28" spans="1:6">
      <c r="B28" s="158"/>
    </row>
    <row r="29" spans="1:6">
      <c r="B29" s="140"/>
    </row>
    <row r="31" spans="1:6" ht="13.5" thickBot="1">
      <c r="F31" s="164">
        <f>SUM(F18:F30)</f>
        <v>1070</v>
      </c>
    </row>
    <row r="32" spans="1:6" ht="13.5" thickTop="1"/>
    <row r="33" spans="1:6" ht="20.100000000000001" customHeight="1" thickBot="1">
      <c r="A33" s="138" t="s">
        <v>204</v>
      </c>
      <c r="B33" s="138" t="s">
        <v>2317</v>
      </c>
      <c r="C33" s="139"/>
      <c r="D33" s="139"/>
      <c r="E33" s="139"/>
      <c r="F33" s="137">
        <f>SUM(F20:F32)</f>
        <v>2140</v>
      </c>
    </row>
    <row r="34" spans="1:6" ht="13.5" thickTop="1">
      <c r="A34" s="140"/>
    </row>
    <row r="35" spans="1:6">
      <c r="A35" s="143" t="s">
        <v>10</v>
      </c>
    </row>
    <row r="36" spans="1:6">
      <c r="A36" s="143"/>
    </row>
    <row r="37" spans="1:6">
      <c r="A37" s="143"/>
    </row>
    <row r="38" spans="1:6">
      <c r="A38" s="143"/>
      <c r="C38" s="141"/>
    </row>
    <row r="39" spans="1:6" ht="25.5">
      <c r="A39" s="268"/>
      <c r="B39" s="142"/>
      <c r="D39" s="265" t="s">
        <v>2894</v>
      </c>
      <c r="E39" s="266"/>
      <c r="F39" s="267"/>
    </row>
    <row r="40" spans="1:6">
      <c r="A40" s="143"/>
    </row>
    <row r="41" spans="1:6">
      <c r="A41" s="143" t="s">
        <v>8</v>
      </c>
      <c r="D41" s="143" t="s">
        <v>7</v>
      </c>
      <c r="F41" s="144"/>
    </row>
    <row r="42" spans="1:6">
      <c r="A42" s="143"/>
    </row>
    <row r="43" spans="1:6">
      <c r="A43" s="143"/>
    </row>
    <row r="44" spans="1:6">
      <c r="A44" s="143"/>
    </row>
    <row r="45" spans="1:6">
      <c r="A45" s="248"/>
      <c r="B45" s="142"/>
      <c r="D45" s="142"/>
      <c r="E45" s="142"/>
      <c r="F45" s="142"/>
    </row>
    <row r="46" spans="1:6" s="147" customFormat="1" ht="17.100000000000001" customHeight="1">
      <c r="A46" s="145" t="s">
        <v>103</v>
      </c>
      <c r="B46" s="146"/>
      <c r="D46" s="147" t="s">
        <v>3</v>
      </c>
    </row>
    <row r="47" spans="1:6">
      <c r="A47" s="143"/>
      <c r="D47" s="131" t="s">
        <v>2</v>
      </c>
    </row>
    <row r="48" spans="1:6">
      <c r="A48" s="143"/>
    </row>
    <row r="49" spans="1:4">
      <c r="D49" s="110" t="s">
        <v>1</v>
      </c>
    </row>
    <row r="50" spans="1:4">
      <c r="A50" s="145" t="s">
        <v>2948</v>
      </c>
      <c r="D50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1-000000000000}">
  <sheetPr codeName="Sheet297">
    <pageSetUpPr fitToPage="1"/>
  </sheetPr>
  <dimension ref="A1:F54"/>
  <sheetViews>
    <sheetView topLeftCell="A4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2357</v>
      </c>
      <c r="F9" s="111"/>
    </row>
    <row r="10" spans="1:6">
      <c r="A10" s="111" t="s">
        <v>2359</v>
      </c>
      <c r="B10" s="111"/>
      <c r="C10" s="111"/>
      <c r="D10" s="112" t="s">
        <v>1162</v>
      </c>
      <c r="E10" s="111" t="s">
        <v>2355</v>
      </c>
      <c r="F10" s="111"/>
    </row>
    <row r="11" spans="1:6">
      <c r="A11" s="111" t="s">
        <v>2360</v>
      </c>
      <c r="B11" s="111"/>
      <c r="C11" s="111"/>
      <c r="D11" s="112" t="s">
        <v>1163</v>
      </c>
      <c r="E11" s="111" t="s">
        <v>1094</v>
      </c>
      <c r="F11" s="111"/>
    </row>
    <row r="12" spans="1:6">
      <c r="A12" s="111" t="s">
        <v>2361</v>
      </c>
      <c r="B12" s="111"/>
      <c r="C12" s="111"/>
      <c r="D12" s="112" t="s">
        <v>1135</v>
      </c>
      <c r="E12" s="120" t="s">
        <v>2358</v>
      </c>
      <c r="F12" s="111"/>
    </row>
    <row r="13" spans="1:6">
      <c r="A13" s="111" t="s">
        <v>2362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6"/>
      <c r="B18" s="116"/>
      <c r="C18" s="2" t="s">
        <v>2364</v>
      </c>
      <c r="D18" s="111"/>
      <c r="E18" s="111"/>
      <c r="F18" s="111"/>
    </row>
    <row r="19" spans="1:6">
      <c r="A19" s="112"/>
      <c r="B19" s="176"/>
      <c r="C19" s="111"/>
      <c r="D19" s="111"/>
      <c r="E19" s="111"/>
      <c r="F19" s="111"/>
    </row>
    <row r="20" spans="1:6">
      <c r="A20" s="116"/>
      <c r="B20" s="176" t="s">
        <v>2363</v>
      </c>
      <c r="C20" s="111" t="s">
        <v>2365</v>
      </c>
      <c r="D20" s="111"/>
      <c r="E20" s="111"/>
      <c r="F20" s="111">
        <v>1749</v>
      </c>
    </row>
    <row r="21" spans="1:6">
      <c r="A21" s="116"/>
      <c r="B21" s="116"/>
      <c r="C21" s="111" t="s">
        <v>2366</v>
      </c>
      <c r="D21" s="111"/>
      <c r="E21" s="111"/>
      <c r="F21" s="111"/>
    </row>
    <row r="22" spans="1:6">
      <c r="A22" s="116"/>
      <c r="B22" s="116"/>
      <c r="C22" s="111"/>
      <c r="F22" s="111"/>
    </row>
    <row r="23" spans="1:6">
      <c r="A23" s="116"/>
      <c r="B23" s="116"/>
      <c r="C23" s="111"/>
      <c r="D23" s="111"/>
      <c r="E23" s="111"/>
      <c r="F23" s="111"/>
    </row>
    <row r="24" spans="1:6">
      <c r="A24" s="116"/>
      <c r="B24" s="116"/>
      <c r="C24" s="111"/>
      <c r="F24" s="111"/>
    </row>
    <row r="25" spans="1:6">
      <c r="B25" s="116"/>
      <c r="C25" s="111"/>
    </row>
    <row r="26" spans="1:6">
      <c r="A26" s="116"/>
      <c r="B26" s="116"/>
      <c r="C26" s="111"/>
      <c r="D26" s="111"/>
      <c r="E26" s="111"/>
      <c r="F26" s="111"/>
    </row>
    <row r="27" spans="1:6">
      <c r="A27" s="116"/>
      <c r="B27" s="116"/>
      <c r="C27" s="111"/>
      <c r="D27" s="111"/>
      <c r="E27" s="111"/>
      <c r="F27" s="111"/>
    </row>
    <row r="28" spans="1:6">
      <c r="B28" s="116"/>
    </row>
    <row r="29" spans="1:6">
      <c r="A29" s="116"/>
      <c r="B29" s="116"/>
      <c r="C29" s="111"/>
      <c r="F29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1749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202" t="s">
        <v>2367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B42" s="111"/>
      <c r="C42" s="111"/>
      <c r="D42" s="111"/>
      <c r="E42" s="111"/>
      <c r="F42" s="111"/>
    </row>
    <row r="43" spans="1:6">
      <c r="A43" s="123" t="s">
        <v>8</v>
      </c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60">
    <pageSetUpPr fitToPage="1"/>
  </sheetPr>
  <dimension ref="A1:F53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31" t="s">
        <v>3942</v>
      </c>
    </row>
    <row r="10" spans="1:6">
      <c r="A10" s="111" t="s">
        <v>3412</v>
      </c>
      <c r="D10" s="112" t="s">
        <v>1162</v>
      </c>
      <c r="E10" s="143" t="s">
        <v>3941</v>
      </c>
    </row>
    <row r="11" spans="1:6">
      <c r="A11" s="111" t="s">
        <v>3413</v>
      </c>
      <c r="D11" s="112" t="s">
        <v>1163</v>
      </c>
      <c r="E11" s="132" t="s">
        <v>1094</v>
      </c>
    </row>
    <row r="12" spans="1:6">
      <c r="A12" s="111" t="s">
        <v>1149</v>
      </c>
      <c r="D12" s="112" t="s">
        <v>1135</v>
      </c>
      <c r="E12" s="140" t="s">
        <v>3943</v>
      </c>
    </row>
    <row r="13" spans="1:6">
      <c r="A13" s="111" t="s">
        <v>3414</v>
      </c>
      <c r="E13" s="131"/>
    </row>
    <row r="14" spans="1:6">
      <c r="A14" s="111" t="s">
        <v>3415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3944</v>
      </c>
    </row>
    <row r="19" spans="1:6">
      <c r="A19" s="161"/>
      <c r="B19" s="116"/>
    </row>
    <row r="20" spans="1:6">
      <c r="A20" s="116" t="s">
        <v>3945</v>
      </c>
      <c r="B20" s="116" t="s">
        <v>3946</v>
      </c>
      <c r="C20" s="120" t="s">
        <v>3947</v>
      </c>
      <c r="F20" s="111">
        <f>95*5</f>
        <v>475</v>
      </c>
    </row>
    <row r="21" spans="1:6">
      <c r="C21" s="111" t="s">
        <v>1814</v>
      </c>
      <c r="F21" s="111">
        <f>F20*6%</f>
        <v>28.5</v>
      </c>
    </row>
    <row r="24" spans="1:6">
      <c r="A24" s="116"/>
      <c r="B24" s="116"/>
    </row>
    <row r="29" spans="1:6">
      <c r="F29" s="2"/>
    </row>
    <row r="30" spans="1:6">
      <c r="F30" s="2"/>
    </row>
    <row r="31" spans="1:6">
      <c r="B31" s="120"/>
    </row>
    <row r="32" spans="1:6">
      <c r="B32" s="120"/>
    </row>
    <row r="34" spans="1:6" ht="13.5" thickBot="1">
      <c r="F34" s="127">
        <f>SUM(F20:F33)</f>
        <v>503.5</v>
      </c>
    </row>
    <row r="35" spans="1:6" ht="13.5" thickTop="1"/>
    <row r="36" spans="1:6" ht="20.100000000000001" customHeight="1">
      <c r="A36" s="118" t="s">
        <v>1133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Five Hundred Three and 50/100 -----------</v>
      </c>
      <c r="C36" s="119"/>
      <c r="D36" s="119"/>
      <c r="E36" s="119"/>
      <c r="F36" s="261"/>
    </row>
    <row r="37" spans="1:6">
      <c r="A37" s="120"/>
    </row>
    <row r="38" spans="1:6" ht="25.5">
      <c r="A38" s="123" t="s">
        <v>10</v>
      </c>
      <c r="D38" s="265" t="s">
        <v>2894</v>
      </c>
      <c r="E38" s="266"/>
      <c r="F38" s="267"/>
    </row>
    <row r="39" spans="1:6">
      <c r="A39" s="126"/>
      <c r="D39" s="279"/>
      <c r="E39" s="280"/>
      <c r="F39" s="280"/>
    </row>
    <row r="40" spans="1:6">
      <c r="A40" s="123"/>
    </row>
    <row r="41" spans="1:6">
      <c r="A41" s="123"/>
      <c r="C41" s="121"/>
    </row>
    <row r="42" spans="1:6">
      <c r="A42" s="150"/>
      <c r="B42" s="122"/>
    </row>
    <row r="44" spans="1:6">
      <c r="A44" s="123" t="s">
        <v>8</v>
      </c>
      <c r="D44" s="123" t="s">
        <v>7</v>
      </c>
      <c r="F44" s="124"/>
    </row>
    <row r="45" spans="1:6">
      <c r="A45" s="123"/>
    </row>
    <row r="46" spans="1:6">
      <c r="A46" s="123"/>
    </row>
    <row r="47" spans="1:6">
      <c r="A47" s="123"/>
    </row>
    <row r="48" spans="1:6">
      <c r="A48" s="150"/>
      <c r="B48" s="122"/>
      <c r="D48" s="122"/>
      <c r="E48" s="122"/>
      <c r="F48" s="122"/>
    </row>
    <row r="49" spans="1:4" s="126" customFormat="1" ht="17.100000000000001" customHeight="1">
      <c r="A49" s="151" t="s">
        <v>2948</v>
      </c>
      <c r="B49" s="125"/>
      <c r="D49" s="126" t="s">
        <v>3</v>
      </c>
    </row>
    <row r="50" spans="1:4">
      <c r="A50" s="151"/>
      <c r="D50" s="111" t="s">
        <v>2</v>
      </c>
    </row>
    <row r="51" spans="1:4">
      <c r="A51" s="123"/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4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1-000000000000}">
  <sheetPr codeName="Sheet298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5.42578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31" t="s">
        <v>4111</v>
      </c>
      <c r="F9" s="111"/>
    </row>
    <row r="10" spans="1:6">
      <c r="A10" s="111" t="s">
        <v>2421</v>
      </c>
      <c r="B10" s="111"/>
      <c r="C10" s="111"/>
      <c r="D10" s="112" t="s">
        <v>1162</v>
      </c>
      <c r="E10" s="143" t="s">
        <v>4093</v>
      </c>
      <c r="F10" s="111"/>
    </row>
    <row r="11" spans="1:6">
      <c r="A11" s="111" t="s">
        <v>2422</v>
      </c>
      <c r="B11" s="111"/>
      <c r="C11" s="111"/>
      <c r="D11" s="112" t="s">
        <v>1163</v>
      </c>
      <c r="E11" s="132" t="s">
        <v>1094</v>
      </c>
      <c r="F11" s="111"/>
    </row>
    <row r="12" spans="1:6">
      <c r="A12" s="111" t="s">
        <v>2423</v>
      </c>
      <c r="B12" s="111"/>
      <c r="C12" s="111"/>
      <c r="D12" s="112" t="s">
        <v>1135</v>
      </c>
      <c r="E12" s="140" t="s">
        <v>4112</v>
      </c>
      <c r="F12" s="111"/>
    </row>
    <row r="13" spans="1:6">
      <c r="A13" s="111" t="s">
        <v>2424</v>
      </c>
      <c r="B13" s="111"/>
      <c r="C13" s="111"/>
      <c r="D13" s="111"/>
      <c r="E13" s="111"/>
      <c r="F13" s="111"/>
    </row>
    <row r="14" spans="1:6">
      <c r="A14" s="111" t="s">
        <v>2425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6"/>
      <c r="B18" s="116"/>
      <c r="C18" s="2" t="s">
        <v>2983</v>
      </c>
      <c r="D18" s="111"/>
      <c r="E18" s="111"/>
      <c r="F18" s="111"/>
    </row>
    <row r="19" spans="1:6">
      <c r="C19" s="2"/>
    </row>
    <row r="20" spans="1:6">
      <c r="A20" s="116" t="s">
        <v>2984</v>
      </c>
      <c r="B20" s="116" t="s">
        <v>2985</v>
      </c>
      <c r="C20" s="111" t="s">
        <v>2986</v>
      </c>
      <c r="D20" s="111"/>
      <c r="E20" s="111"/>
      <c r="F20" s="111">
        <v>19844</v>
      </c>
    </row>
    <row r="21" spans="1:6">
      <c r="A21" s="116"/>
      <c r="B21" s="116"/>
      <c r="C21" s="111"/>
      <c r="D21" s="111"/>
      <c r="E21" s="111"/>
      <c r="F21" s="111"/>
    </row>
    <row r="22" spans="1:6">
      <c r="A22" s="116"/>
      <c r="B22" s="116"/>
      <c r="C22" s="111" t="s">
        <v>2987</v>
      </c>
      <c r="D22" s="111"/>
      <c r="E22" s="111"/>
      <c r="F22" s="111">
        <f>F20*6%</f>
        <v>1190.6399999999999</v>
      </c>
    </row>
    <row r="23" spans="1:6">
      <c r="A23" s="116"/>
      <c r="B23" s="116"/>
      <c r="C23" s="2"/>
      <c r="D23" s="111"/>
      <c r="E23" s="111"/>
      <c r="F23" s="111"/>
    </row>
    <row r="24" spans="1:6">
      <c r="A24" s="116"/>
      <c r="B24" s="116"/>
      <c r="C24" s="111"/>
      <c r="F24" s="111"/>
    </row>
    <row r="25" spans="1:6">
      <c r="A25" s="116"/>
      <c r="B25" s="116"/>
      <c r="C25" s="111"/>
      <c r="F25" s="111"/>
    </row>
    <row r="26" spans="1:6">
      <c r="A26" s="116"/>
      <c r="B26" s="116"/>
      <c r="C26" s="111"/>
      <c r="D26" s="111"/>
      <c r="E26" s="111"/>
      <c r="F26" s="111"/>
    </row>
    <row r="27" spans="1:6">
      <c r="A27" s="116"/>
      <c r="B27" s="116"/>
      <c r="C27" s="111"/>
      <c r="D27" s="111"/>
      <c r="E27" s="111"/>
      <c r="F27" s="111"/>
    </row>
    <row r="28" spans="1:6">
      <c r="B28" s="116"/>
    </row>
    <row r="29" spans="1:6">
      <c r="A29" s="116"/>
      <c r="B29" s="116"/>
      <c r="C29" s="111"/>
      <c r="F29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21034.639999999999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202" t="s">
        <v>2428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 ht="25.5">
      <c r="A37" s="111" t="s">
        <v>10</v>
      </c>
      <c r="B37" s="111"/>
      <c r="C37" s="111"/>
      <c r="D37" s="265" t="s">
        <v>2894</v>
      </c>
      <c r="E37" s="266"/>
      <c r="F37" s="267"/>
    </row>
    <row r="38" spans="1:6">
      <c r="A38" s="111"/>
      <c r="B38" s="111"/>
      <c r="C38" s="111"/>
      <c r="D38" s="111"/>
      <c r="E38" s="111"/>
      <c r="F38" s="111"/>
    </row>
    <row r="39" spans="1:6">
      <c r="A39" s="126"/>
      <c r="B39" s="111"/>
      <c r="C39" s="111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B42" s="111"/>
      <c r="C42" s="111"/>
      <c r="D42" s="111"/>
      <c r="E42" s="111"/>
      <c r="F42" s="111"/>
    </row>
    <row r="43" spans="1:6">
      <c r="A43" s="123" t="s">
        <v>8</v>
      </c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51" t="s">
        <v>2948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/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4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1-000000000000}">
  <sheetPr codeName="Sheet299">
    <pageSetUpPr fitToPage="1"/>
  </sheetPr>
  <dimension ref="A1:H53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140625" style="111" customWidth="1"/>
    <col min="4" max="4" width="22.42578125" style="111" customWidth="1"/>
    <col min="5" max="5" width="0.570312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483" t="s">
        <v>6680</v>
      </c>
      <c r="H9" s="131"/>
    </row>
    <row r="10" spans="1:8">
      <c r="A10" s="111" t="s">
        <v>2609</v>
      </c>
      <c r="F10" s="112" t="s">
        <v>1180</v>
      </c>
      <c r="G10" s="484" t="s">
        <v>6679</v>
      </c>
      <c r="H10" s="131"/>
    </row>
    <row r="11" spans="1:8">
      <c r="A11" s="111" t="s">
        <v>2610</v>
      </c>
      <c r="F11" s="112" t="s">
        <v>1181</v>
      </c>
      <c r="G11" s="484" t="s">
        <v>1094</v>
      </c>
      <c r="H11" s="131"/>
    </row>
    <row r="12" spans="1:8">
      <c r="A12" s="111" t="s">
        <v>2611</v>
      </c>
      <c r="F12" s="112" t="s">
        <v>1182</v>
      </c>
      <c r="G12" s="484" t="s">
        <v>6681</v>
      </c>
      <c r="H12" s="131"/>
    </row>
    <row r="13" spans="1:8">
      <c r="A13" s="111" t="s">
        <v>1879</v>
      </c>
      <c r="G13" s="483" t="s">
        <v>5914</v>
      </c>
    </row>
    <row r="14" spans="1:8">
      <c r="A14" s="111" t="s">
        <v>2612</v>
      </c>
      <c r="G14" s="483"/>
    </row>
    <row r="16" spans="1:8" s="15" customFormat="1" ht="20.100000000000001" customHeight="1">
      <c r="A16" s="18" t="s">
        <v>1193</v>
      </c>
      <c r="B16" s="129" t="s">
        <v>1098</v>
      </c>
      <c r="C16" s="447"/>
      <c r="D16" s="19" t="s">
        <v>14</v>
      </c>
      <c r="E16" s="19"/>
      <c r="F16" s="18"/>
      <c r="G16" s="17"/>
      <c r="H16" s="16" t="s">
        <v>13</v>
      </c>
    </row>
    <row r="18" spans="1:8">
      <c r="A18" s="116"/>
      <c r="B18" s="116"/>
      <c r="C18" s="116"/>
      <c r="D18" s="2" t="s">
        <v>3421</v>
      </c>
      <c r="E18" s="2"/>
    </row>
    <row r="19" spans="1:8">
      <c r="A19" s="116"/>
      <c r="B19" s="121"/>
      <c r="C19" s="121"/>
    </row>
    <row r="20" spans="1:8">
      <c r="A20" s="485" t="s">
        <v>6571</v>
      </c>
      <c r="B20" s="485" t="s">
        <v>6682</v>
      </c>
      <c r="C20" s="116"/>
      <c r="D20" s="111" t="s">
        <v>6683</v>
      </c>
      <c r="H20" s="111">
        <v>90</v>
      </c>
    </row>
    <row r="21" spans="1:8">
      <c r="D21" s="483" t="s">
        <v>6684</v>
      </c>
      <c r="H21" s="483">
        <v>90</v>
      </c>
    </row>
    <row r="22" spans="1:8">
      <c r="A22" s="485"/>
      <c r="B22" s="116"/>
      <c r="C22" s="116"/>
      <c r="D22" s="483" t="s">
        <v>6685</v>
      </c>
      <c r="H22" s="483">
        <v>90</v>
      </c>
    </row>
    <row r="23" spans="1:8">
      <c r="A23" s="485"/>
      <c r="B23" s="121"/>
      <c r="C23" s="121"/>
      <c r="D23" s="483"/>
    </row>
    <row r="24" spans="1:8">
      <c r="A24" s="116"/>
      <c r="B24" s="121"/>
      <c r="C24" s="121"/>
      <c r="D24" s="483"/>
      <c r="E24" s="2"/>
      <c r="H24" s="483"/>
    </row>
    <row r="25" spans="1:8">
      <c r="A25" s="116"/>
      <c r="B25" s="121"/>
      <c r="C25" s="121"/>
    </row>
    <row r="26" spans="1:8">
      <c r="A26" s="116"/>
      <c r="B26" s="121"/>
      <c r="C26" s="121"/>
    </row>
    <row r="32" spans="1:8">
      <c r="A32" s="116"/>
      <c r="B32" s="121"/>
      <c r="C32" s="121"/>
    </row>
    <row r="33" spans="1:8">
      <c r="A33" s="116"/>
      <c r="B33" s="121"/>
      <c r="C33" s="121"/>
      <c r="H33" s="122"/>
    </row>
    <row r="34" spans="1:8" ht="13.5" thickBot="1">
      <c r="B34" s="121"/>
      <c r="C34" s="121"/>
      <c r="H34" s="127">
        <f>SUM(H18:H32)</f>
        <v>270</v>
      </c>
    </row>
    <row r="35" spans="1:8" ht="13.5" thickTop="1"/>
    <row r="36" spans="1:8" ht="20.100000000000001" customHeight="1">
      <c r="A36" s="118" t="s">
        <v>204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Two Hundred Seventy and NO/100 -----------</v>
      </c>
      <c r="C36" s="202"/>
      <c r="D36" s="119"/>
      <c r="E36" s="119"/>
      <c r="F36" s="119"/>
      <c r="G36" s="119"/>
      <c r="H36" s="119"/>
    </row>
    <row r="37" spans="1:8">
      <c r="A37" s="120" t="s">
        <v>11</v>
      </c>
    </row>
    <row r="38" spans="1:8" ht="25.5">
      <c r="A38" s="126" t="s">
        <v>10</v>
      </c>
      <c r="F38" s="265" t="s">
        <v>2894</v>
      </c>
      <c r="G38" s="266"/>
      <c r="H38" s="267"/>
    </row>
    <row r="41" spans="1:8">
      <c r="A41" s="111" t="s">
        <v>52</v>
      </c>
      <c r="D41" s="121"/>
      <c r="E41" s="121"/>
    </row>
    <row r="42" spans="1:8">
      <c r="A42" s="122"/>
      <c r="B42" s="122"/>
      <c r="C42" s="433"/>
    </row>
    <row r="44" spans="1:8">
      <c r="A44" s="123" t="s">
        <v>8</v>
      </c>
      <c r="D44" s="123" t="s">
        <v>8</v>
      </c>
      <c r="F44" s="123" t="s">
        <v>7</v>
      </c>
      <c r="H44" s="124"/>
    </row>
    <row r="48" spans="1:8">
      <c r="A48" s="122" t="s">
        <v>51</v>
      </c>
      <c r="B48" s="122"/>
      <c r="C48" s="433"/>
      <c r="D48" s="122" t="s">
        <v>51</v>
      </c>
      <c r="F48" s="122"/>
      <c r="G48" s="122"/>
      <c r="H48" s="122"/>
    </row>
    <row r="49" spans="1:6" s="126" customFormat="1" ht="17.100000000000001" customHeight="1">
      <c r="A49" s="151" t="s">
        <v>2948</v>
      </c>
      <c r="B49" s="125"/>
      <c r="C49" s="125"/>
      <c r="D49" s="151" t="s">
        <v>103</v>
      </c>
      <c r="F49" s="126" t="s">
        <v>3</v>
      </c>
    </row>
    <row r="50" spans="1:6">
      <c r="F50" s="111" t="s">
        <v>2</v>
      </c>
    </row>
    <row r="52" spans="1:6">
      <c r="F52" s="2" t="s">
        <v>1</v>
      </c>
    </row>
    <row r="53" spans="1:6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4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1-000000000000}">
  <sheetPr codeName="Sheet300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4.28515625" style="111" customWidth="1"/>
    <col min="2" max="2" width="14" style="111" customWidth="1"/>
    <col min="3" max="3" width="23" style="111" customWidth="1"/>
    <col min="4" max="4" width="12" style="111" customWidth="1"/>
    <col min="5" max="5" width="9.710937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1239</v>
      </c>
      <c r="E9" s="147" t="s">
        <v>2614</v>
      </c>
    </row>
    <row r="10" spans="1:6">
      <c r="A10" s="111" t="s">
        <v>2616</v>
      </c>
      <c r="D10" s="112" t="s">
        <v>1124</v>
      </c>
      <c r="E10" s="212" t="s">
        <v>2613</v>
      </c>
    </row>
    <row r="11" spans="1:6">
      <c r="A11" s="111" t="s">
        <v>2617</v>
      </c>
      <c r="D11" s="112" t="s">
        <v>1125</v>
      </c>
      <c r="E11" s="212" t="s">
        <v>1094</v>
      </c>
    </row>
    <row r="12" spans="1:6">
      <c r="A12" s="111" t="s">
        <v>2618</v>
      </c>
      <c r="D12" s="112" t="s">
        <v>1096</v>
      </c>
      <c r="E12" s="212" t="s">
        <v>2615</v>
      </c>
    </row>
    <row r="13" spans="1:6">
      <c r="A13" s="111" t="s">
        <v>1308</v>
      </c>
    </row>
    <row r="14" spans="1:6">
      <c r="A14" s="111" t="s">
        <v>2619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A18" s="116"/>
      <c r="B18" s="116"/>
      <c r="C18" s="2" t="s">
        <v>2620</v>
      </c>
    </row>
    <row r="19" spans="1:6">
      <c r="A19" s="116"/>
      <c r="B19" s="116"/>
      <c r="C19" s="2"/>
    </row>
    <row r="20" spans="1:6">
      <c r="A20" s="116" t="s">
        <v>2602</v>
      </c>
      <c r="B20" s="116"/>
      <c r="C20" s="111" t="s">
        <v>2621</v>
      </c>
      <c r="F20" s="111">
        <v>405</v>
      </c>
    </row>
    <row r="21" spans="1:6">
      <c r="C21" s="111" t="s">
        <v>2622</v>
      </c>
    </row>
    <row r="22" spans="1:6">
      <c r="C22" s="111" t="s">
        <v>2623</v>
      </c>
    </row>
    <row r="30" spans="1:6">
      <c r="A30" s="153"/>
    </row>
    <row r="31" spans="1:6">
      <c r="A31" s="153"/>
    </row>
    <row r="32" spans="1:6">
      <c r="A32" s="153"/>
    </row>
    <row r="33" spans="1:6" ht="13.5" thickBot="1">
      <c r="A33" s="153"/>
      <c r="F33" s="117">
        <f>SUM(F20:F32)</f>
        <v>405</v>
      </c>
    </row>
    <row r="34" spans="1:6" ht="13.5" thickTop="1">
      <c r="A34" s="153"/>
    </row>
    <row r="35" spans="1:6" ht="20.100000000000001" customHeight="1">
      <c r="A35" s="118" t="s">
        <v>204</v>
      </c>
      <c r="B35" s="202" t="s">
        <v>2624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1-000000000000}">
  <sheetPr codeName="Sheet301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32" t="s">
        <v>4618</v>
      </c>
    </row>
    <row r="10" spans="1:6">
      <c r="A10" s="111" t="s">
        <v>2668</v>
      </c>
      <c r="D10" s="112" t="s">
        <v>1180</v>
      </c>
      <c r="E10" s="132" t="s">
        <v>4608</v>
      </c>
    </row>
    <row r="11" spans="1:6">
      <c r="A11" s="111" t="s">
        <v>2669</v>
      </c>
      <c r="D11" s="112" t="s">
        <v>1181</v>
      </c>
      <c r="E11" s="132" t="s">
        <v>1094</v>
      </c>
    </row>
    <row r="12" spans="1:6">
      <c r="A12" s="111" t="s">
        <v>2670</v>
      </c>
      <c r="D12" s="112" t="s">
        <v>1182</v>
      </c>
      <c r="E12" s="120" t="s">
        <v>4619</v>
      </c>
    </row>
    <row r="13" spans="1:6">
      <c r="A13" s="111" t="s">
        <v>2671</v>
      </c>
    </row>
    <row r="14" spans="1:6">
      <c r="A14" s="111" t="s">
        <v>2672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16"/>
      <c r="B18" s="121"/>
      <c r="C18" s="2" t="s">
        <v>4564</v>
      </c>
    </row>
    <row r="20" spans="1:6">
      <c r="A20" s="116" t="s">
        <v>4507</v>
      </c>
      <c r="B20" s="116" t="s">
        <v>4620</v>
      </c>
      <c r="C20" s="111" t="s">
        <v>4621</v>
      </c>
      <c r="F20" s="111">
        <v>3800</v>
      </c>
    </row>
    <row r="21" spans="1:6">
      <c r="C21" s="111" t="s">
        <v>1814</v>
      </c>
      <c r="F21" s="111">
        <f>F20*6%</f>
        <v>228</v>
      </c>
    </row>
    <row r="22" spans="1:6">
      <c r="A22" s="116"/>
      <c r="B22" s="116"/>
    </row>
    <row r="23" spans="1:6">
      <c r="A23" s="148"/>
      <c r="C23" s="120"/>
    </row>
    <row r="24" spans="1:6">
      <c r="A24" s="116"/>
      <c r="B24" s="251"/>
    </row>
    <row r="27" spans="1:6">
      <c r="A27" s="120"/>
    </row>
    <row r="28" spans="1:6">
      <c r="C28" s="2"/>
      <c r="F28" s="149"/>
    </row>
    <row r="29" spans="1:6">
      <c r="A29" s="148"/>
      <c r="B29" s="121"/>
      <c r="C29" s="120"/>
    </row>
    <row r="33" spans="1:6" ht="13.5" thickBot="1">
      <c r="F33" s="127">
        <f>SUM(F20:F32)</f>
        <v>4028</v>
      </c>
    </row>
    <row r="34" spans="1:6" ht="13.5" thickTop="1"/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Four Thousand Twenty-Eight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1-000000000000}">
  <sheetPr codeName="Sheet302">
    <pageSetUpPr fitToPage="1"/>
  </sheetPr>
  <dimension ref="A1:F53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2675</v>
      </c>
      <c r="F9" s="111"/>
    </row>
    <row r="10" spans="1:6">
      <c r="A10" s="111" t="s">
        <v>2677</v>
      </c>
      <c r="B10" s="111"/>
      <c r="C10" s="111"/>
      <c r="D10" s="112" t="s">
        <v>1162</v>
      </c>
      <c r="E10" s="123" t="s">
        <v>2674</v>
      </c>
      <c r="F10" s="111"/>
    </row>
    <row r="11" spans="1:6">
      <c r="A11" s="111" t="s">
        <v>2678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2679</v>
      </c>
      <c r="B12" s="111"/>
      <c r="C12" s="111"/>
      <c r="D12" s="112" t="s">
        <v>1135</v>
      </c>
      <c r="E12" s="112" t="s">
        <v>2676</v>
      </c>
      <c r="F12" s="111"/>
    </row>
    <row r="13" spans="1:6">
      <c r="A13" s="111" t="s">
        <v>2680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6"/>
      <c r="B18" s="116"/>
      <c r="C18" s="2" t="s">
        <v>2666</v>
      </c>
      <c r="D18" s="111"/>
      <c r="E18" s="111"/>
      <c r="F18" s="111"/>
    </row>
    <row r="19" spans="1:6">
      <c r="C19" s="2" t="s">
        <v>2667</v>
      </c>
    </row>
    <row r="20" spans="1:6">
      <c r="A20" s="116"/>
      <c r="B20" s="116"/>
      <c r="C20" s="111"/>
      <c r="F20" s="111"/>
    </row>
    <row r="21" spans="1:6">
      <c r="A21" s="116" t="s">
        <v>2681</v>
      </c>
      <c r="B21" s="116" t="s">
        <v>2682</v>
      </c>
      <c r="C21" s="111" t="s">
        <v>2683</v>
      </c>
      <c r="F21" s="111">
        <v>700</v>
      </c>
    </row>
    <row r="22" spans="1:6">
      <c r="A22" s="116"/>
      <c r="B22" s="116"/>
      <c r="C22" s="111"/>
      <c r="F22" s="111"/>
    </row>
    <row r="23" spans="1:6">
      <c r="A23" s="116"/>
      <c r="B23" s="116"/>
      <c r="C23" s="111" t="s">
        <v>2684</v>
      </c>
      <c r="F23" s="111">
        <v>600</v>
      </c>
    </row>
    <row r="24" spans="1:6">
      <c r="A24" s="116"/>
      <c r="B24" s="116"/>
      <c r="C24" s="111"/>
      <c r="F24" s="111"/>
    </row>
    <row r="25" spans="1:6">
      <c r="A25" s="116"/>
      <c r="B25" s="116"/>
      <c r="C25" s="111"/>
      <c r="F25" s="111"/>
    </row>
    <row r="26" spans="1:6">
      <c r="A26" s="116"/>
      <c r="B26" s="116"/>
      <c r="C26" s="111"/>
      <c r="F26" s="111"/>
    </row>
    <row r="27" spans="1:6">
      <c r="A27" s="116"/>
      <c r="B27" s="116"/>
      <c r="C27" s="111"/>
      <c r="F27" s="111"/>
    </row>
    <row r="28" spans="1:6">
      <c r="A28" s="116"/>
      <c r="B28" s="116"/>
      <c r="C28" s="111"/>
      <c r="F28" s="111"/>
    </row>
    <row r="29" spans="1:6">
      <c r="A29" s="116"/>
      <c r="B29" s="116"/>
      <c r="C29" s="111"/>
      <c r="F29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1300</v>
      </c>
    </row>
    <row r="34" spans="1:6" ht="20.100000000000001" customHeight="1" thickTop="1">
      <c r="A34" s="118" t="s">
        <v>1133</v>
      </c>
      <c r="B34" s="202" t="s">
        <v>2685</v>
      </c>
      <c r="C34" s="119"/>
      <c r="D34" s="119"/>
      <c r="E34" s="119"/>
      <c r="F34" s="119"/>
    </row>
    <row r="35" spans="1:6">
      <c r="A35" s="120" t="s">
        <v>11</v>
      </c>
      <c r="B35" s="111"/>
      <c r="C35" s="111"/>
      <c r="D35" s="111"/>
      <c r="E35" s="111"/>
      <c r="F35" s="111"/>
    </row>
    <row r="36" spans="1:6">
      <c r="A36" s="111" t="s">
        <v>10</v>
      </c>
      <c r="B36" s="111"/>
      <c r="C36" s="111"/>
      <c r="D36" s="111"/>
      <c r="E36" s="111"/>
      <c r="F36" s="111"/>
    </row>
    <row r="37" spans="1:6">
      <c r="A37" s="111"/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21"/>
      <c r="D39" s="265" t="s">
        <v>2894</v>
      </c>
      <c r="E39" s="266"/>
      <c r="F39" s="267"/>
    </row>
    <row r="40" spans="1:6">
      <c r="A40" s="122"/>
      <c r="B40" s="122"/>
      <c r="C40" s="111"/>
      <c r="D40" s="111"/>
      <c r="E40" s="111"/>
      <c r="F40" s="111"/>
    </row>
    <row r="41" spans="1:6">
      <c r="B41" s="111"/>
      <c r="C41" s="111"/>
      <c r="D41" s="111"/>
      <c r="E41" s="111"/>
      <c r="F41" s="111"/>
    </row>
    <row r="42" spans="1:6">
      <c r="A42" s="123" t="s">
        <v>8</v>
      </c>
      <c r="C42" s="111"/>
      <c r="D42" s="123" t="s">
        <v>7</v>
      </c>
      <c r="E42" s="111"/>
      <c r="F42" s="124"/>
    </row>
    <row r="43" spans="1:6">
      <c r="A43" s="111"/>
      <c r="B43" s="111"/>
      <c r="C43" s="111"/>
      <c r="D43" s="111"/>
      <c r="E43" s="111"/>
      <c r="F43" s="111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22"/>
      <c r="B46" s="122"/>
      <c r="C46" s="111"/>
      <c r="D46" s="122"/>
      <c r="E46" s="122"/>
      <c r="F46" s="122"/>
    </row>
    <row r="47" spans="1:6" s="3" customFormat="1" ht="17.100000000000001" customHeight="1">
      <c r="A47" s="125" t="s">
        <v>4</v>
      </c>
      <c r="B47" s="125"/>
      <c r="C47" s="126"/>
      <c r="D47" s="126" t="s">
        <v>3</v>
      </c>
      <c r="E47" s="126"/>
      <c r="F47" s="126"/>
    </row>
    <row r="48" spans="1:6">
      <c r="A48" s="111"/>
      <c r="B48" s="111"/>
      <c r="C48" s="111"/>
      <c r="D48" s="111" t="s">
        <v>2</v>
      </c>
      <c r="E48" s="111"/>
      <c r="F48" s="111"/>
    </row>
    <row r="49" spans="1:6">
      <c r="A49" s="111"/>
      <c r="B49" s="111"/>
      <c r="C49" s="111"/>
      <c r="D49" s="111"/>
      <c r="E49" s="111"/>
      <c r="F49" s="111"/>
    </row>
    <row r="50" spans="1:6">
      <c r="A50" s="151" t="s">
        <v>2948</v>
      </c>
      <c r="B50" s="111"/>
      <c r="C50" s="111"/>
      <c r="D50" s="2" t="s">
        <v>1</v>
      </c>
      <c r="E50" s="111"/>
      <c r="F50" s="111"/>
    </row>
    <row r="51" spans="1:6">
      <c r="A51" s="111"/>
      <c r="B51" s="111"/>
      <c r="C51" s="111"/>
      <c r="D51" s="2" t="s">
        <v>0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111"/>
      <c r="E53" s="111"/>
      <c r="F53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1-000000000000}">
  <sheetPr codeName="Sheet303">
    <pageSetUpPr fitToPage="1"/>
  </sheetPr>
  <dimension ref="A1:F56"/>
  <sheetViews>
    <sheetView topLeftCell="A7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2765</v>
      </c>
      <c r="F9" s="111"/>
    </row>
    <row r="10" spans="1:6">
      <c r="A10" s="111" t="s">
        <v>2767</v>
      </c>
      <c r="B10" s="111"/>
      <c r="C10" s="111"/>
      <c r="D10" s="112" t="s">
        <v>1162</v>
      </c>
      <c r="E10" s="123" t="s">
        <v>2743</v>
      </c>
      <c r="F10" s="111"/>
    </row>
    <row r="11" spans="1:6">
      <c r="A11" s="111" t="s">
        <v>2768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2769</v>
      </c>
      <c r="B12" s="111"/>
      <c r="C12" s="111"/>
      <c r="D12" s="112" t="s">
        <v>1135</v>
      </c>
      <c r="E12" s="112" t="s">
        <v>2766</v>
      </c>
      <c r="F12" s="111"/>
    </row>
    <row r="13" spans="1:6">
      <c r="A13" s="111" t="s">
        <v>567</v>
      </c>
      <c r="B13" s="111"/>
      <c r="C13" s="111"/>
      <c r="D13" s="111"/>
      <c r="E13" s="111"/>
      <c r="F13" s="111"/>
    </row>
    <row r="14" spans="1:6">
      <c r="A14" s="111" t="s">
        <v>2770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6"/>
      <c r="B18" s="116"/>
      <c r="C18" s="2" t="s">
        <v>2771</v>
      </c>
      <c r="D18" s="111"/>
      <c r="E18" s="111"/>
      <c r="F18" s="111"/>
    </row>
    <row r="19" spans="1:6">
      <c r="C19" s="2"/>
    </row>
    <row r="20" spans="1:6">
      <c r="A20" s="116" t="s">
        <v>2772</v>
      </c>
      <c r="B20" s="116" t="s">
        <v>2773</v>
      </c>
      <c r="C20" s="111" t="s">
        <v>2774</v>
      </c>
      <c r="F20" s="111">
        <v>16</v>
      </c>
    </row>
    <row r="21" spans="1:6">
      <c r="A21" s="116"/>
      <c r="B21" s="116"/>
      <c r="C21" s="111"/>
      <c r="F21" s="111"/>
    </row>
    <row r="22" spans="1:6">
      <c r="A22" s="116"/>
      <c r="B22" s="116"/>
      <c r="C22" s="2" t="s">
        <v>2775</v>
      </c>
      <c r="D22" s="111"/>
      <c r="E22" s="111"/>
      <c r="F22" s="111"/>
    </row>
    <row r="23" spans="1:6">
      <c r="C23" s="2"/>
    </row>
    <row r="24" spans="1:6">
      <c r="A24" s="116" t="s">
        <v>2776</v>
      </c>
      <c r="B24" s="116" t="s">
        <v>2777</v>
      </c>
      <c r="C24" s="111" t="s">
        <v>2778</v>
      </c>
      <c r="F24" s="111">
        <v>8</v>
      </c>
    </row>
    <row r="25" spans="1:6">
      <c r="A25" s="116"/>
      <c r="B25" s="116"/>
      <c r="C25" s="111"/>
      <c r="F25" s="111"/>
    </row>
    <row r="26" spans="1:6">
      <c r="A26" s="116"/>
      <c r="B26" s="116"/>
      <c r="C26" s="111"/>
      <c r="F26" s="111"/>
    </row>
    <row r="27" spans="1:6">
      <c r="A27" s="116"/>
      <c r="B27" s="116"/>
      <c r="C27" s="111"/>
      <c r="F27" s="111"/>
    </row>
    <row r="28" spans="1:6">
      <c r="A28" s="116"/>
      <c r="B28" s="116"/>
      <c r="C28" s="111"/>
      <c r="F28" s="111"/>
    </row>
    <row r="29" spans="1:6">
      <c r="A29" s="116"/>
      <c r="B29" s="116"/>
      <c r="C29" s="111"/>
      <c r="F29" s="111"/>
    </row>
    <row r="30" spans="1:6">
      <c r="A30" s="116"/>
      <c r="B30" s="116"/>
      <c r="C30" s="111"/>
      <c r="F30" s="111"/>
    </row>
    <row r="31" spans="1:6">
      <c r="A31" s="116"/>
      <c r="B31" s="116"/>
      <c r="C31" s="111"/>
      <c r="F31" s="111"/>
    </row>
    <row r="32" spans="1:6">
      <c r="A32" s="116"/>
      <c r="B32" s="116"/>
      <c r="C32" s="111"/>
    </row>
    <row r="33" spans="1:6">
      <c r="F33" s="111"/>
    </row>
    <row r="34" spans="1:6">
      <c r="A34" s="111"/>
      <c r="B34" s="111"/>
      <c r="C34" s="111"/>
      <c r="D34" s="111"/>
      <c r="E34" s="111"/>
      <c r="F34" s="111"/>
    </row>
    <row r="35" spans="1:6" ht="13.5" thickBot="1">
      <c r="A35" s="111"/>
      <c r="B35" s="111"/>
      <c r="C35" s="111"/>
      <c r="D35" s="111"/>
      <c r="E35" s="111"/>
      <c r="F35" s="117">
        <f>SUM(F17:F33)</f>
        <v>24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Twenty-Four and NO/100 -----------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B44" s="111"/>
      <c r="C44" s="111"/>
      <c r="D44" s="111"/>
      <c r="E44" s="111"/>
      <c r="F44" s="111"/>
    </row>
    <row r="45" spans="1:6">
      <c r="A45" s="123" t="s">
        <v>8</v>
      </c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1-000000000000}">
  <sheetPr codeName="Sheet363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26" t="s">
        <v>3601</v>
      </c>
    </row>
    <row r="10" spans="1:6">
      <c r="A10" s="111" t="s">
        <v>2810</v>
      </c>
      <c r="D10" s="112" t="s">
        <v>1180</v>
      </c>
      <c r="E10" s="160" t="s">
        <v>3599</v>
      </c>
    </row>
    <row r="11" spans="1:6">
      <c r="A11" s="111" t="s">
        <v>2811</v>
      </c>
      <c r="D11" s="112" t="s">
        <v>1181</v>
      </c>
      <c r="E11" s="160" t="s">
        <v>1094</v>
      </c>
    </row>
    <row r="12" spans="1:6">
      <c r="D12" s="112" t="s">
        <v>1182</v>
      </c>
      <c r="E12" s="160" t="s">
        <v>3602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16"/>
      <c r="B18" s="121"/>
      <c r="C18" s="2" t="s">
        <v>3603</v>
      </c>
    </row>
    <row r="20" spans="1:6">
      <c r="A20" s="116" t="s">
        <v>3600</v>
      </c>
      <c r="B20" s="116" t="s">
        <v>3604</v>
      </c>
      <c r="C20" s="111" t="s">
        <v>3605</v>
      </c>
    </row>
    <row r="21" spans="1:6">
      <c r="C21" s="111" t="s">
        <v>3606</v>
      </c>
      <c r="F21" s="111">
        <v>1200</v>
      </c>
    </row>
    <row r="22" spans="1:6">
      <c r="C22" s="111" t="s">
        <v>3607</v>
      </c>
      <c r="F22" s="111">
        <v>1200</v>
      </c>
    </row>
    <row r="23" spans="1:6">
      <c r="A23" s="148"/>
      <c r="C23" s="120"/>
    </row>
    <row r="24" spans="1:6">
      <c r="A24" s="116"/>
      <c r="B24" s="251"/>
    </row>
    <row r="27" spans="1:6">
      <c r="A27" s="120"/>
    </row>
    <row r="28" spans="1:6">
      <c r="C28" s="2"/>
      <c r="F28" s="149"/>
    </row>
    <row r="29" spans="1:6">
      <c r="A29" s="148"/>
      <c r="B29" s="121"/>
      <c r="C29" s="120"/>
    </row>
    <row r="33" spans="1:6" ht="13.5" thickBot="1">
      <c r="F33" s="127">
        <f>SUM(F20:F32)</f>
        <v>2400</v>
      </c>
    </row>
    <row r="34" spans="1:6" ht="13.5" thickTop="1"/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Thousand Four Hundred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1-000000000000}">
  <sheetPr codeName="Sheet364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2812</v>
      </c>
      <c r="F9" s="111"/>
    </row>
    <row r="10" spans="1:6">
      <c r="A10" s="111" t="s">
        <v>2815</v>
      </c>
      <c r="B10" s="111"/>
      <c r="C10" s="111"/>
      <c r="D10" s="112" t="s">
        <v>1162</v>
      </c>
      <c r="E10" s="123" t="s">
        <v>2813</v>
      </c>
      <c r="F10" s="111"/>
    </row>
    <row r="11" spans="1:6">
      <c r="A11" s="111" t="s">
        <v>2816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2817</v>
      </c>
      <c r="B12" s="111"/>
      <c r="C12" s="111"/>
      <c r="D12" s="112" t="s">
        <v>1096</v>
      </c>
      <c r="E12" s="112" t="s">
        <v>2814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111"/>
      <c r="D18" s="111"/>
      <c r="E18" s="111"/>
      <c r="F18" s="111"/>
    </row>
    <row r="19" spans="1:6">
      <c r="B19" s="116"/>
      <c r="C19" s="111" t="s">
        <v>2818</v>
      </c>
      <c r="D19" s="111"/>
      <c r="E19" s="111"/>
      <c r="F19" s="111">
        <v>3300</v>
      </c>
    </row>
    <row r="20" spans="1:6">
      <c r="A20" s="111"/>
      <c r="B20" s="111"/>
      <c r="C20" s="111" t="s">
        <v>2819</v>
      </c>
      <c r="D20" s="111"/>
      <c r="E20" s="111"/>
      <c r="F20" s="111">
        <v>-363</v>
      </c>
    </row>
    <row r="21" spans="1:6">
      <c r="A21" s="112"/>
      <c r="B21" s="111"/>
      <c r="C21" s="111" t="s">
        <v>2820</v>
      </c>
      <c r="D21" s="111"/>
      <c r="E21" s="111"/>
      <c r="F21" s="111">
        <v>-14.75</v>
      </c>
    </row>
    <row r="22" spans="1:6">
      <c r="A22" s="111"/>
      <c r="B22" s="111"/>
      <c r="C22" s="111"/>
      <c r="D22" s="111"/>
      <c r="E22" s="111"/>
      <c r="F22" s="111"/>
    </row>
    <row r="23" spans="1:6">
      <c r="A23" s="111"/>
      <c r="B23" s="111"/>
      <c r="C23" s="111"/>
      <c r="D23" s="111"/>
      <c r="E23" s="111"/>
      <c r="F23" s="111"/>
    </row>
    <row r="24" spans="1:6">
      <c r="A24" s="111"/>
      <c r="B24" s="111"/>
      <c r="C24" s="111" t="s">
        <v>2821</v>
      </c>
      <c r="D24" s="111"/>
      <c r="E24" s="111"/>
      <c r="F24" s="111"/>
    </row>
    <row r="25" spans="1:6">
      <c r="A25" s="111"/>
      <c r="B25" s="111"/>
      <c r="C25" s="111"/>
      <c r="D25" s="111"/>
      <c r="E25" s="111"/>
      <c r="F25" s="111"/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SUM(F19:F32)</f>
        <v>2922.25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Thousand Nine Hundred Twenty-Two and 25/100 -----------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4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1-000000000000}">
  <sheetPr codeName="Sheet365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31" t="s">
        <v>2822</v>
      </c>
    </row>
    <row r="10" spans="1:6">
      <c r="A10" s="111" t="s">
        <v>2823</v>
      </c>
      <c r="D10" s="112" t="s">
        <v>1180</v>
      </c>
      <c r="E10" s="132" t="s">
        <v>2809</v>
      </c>
    </row>
    <row r="11" spans="1:6">
      <c r="A11" s="111" t="s">
        <v>2824</v>
      </c>
      <c r="D11" s="112" t="s">
        <v>1181</v>
      </c>
      <c r="E11" s="132" t="s">
        <v>1094</v>
      </c>
    </row>
    <row r="12" spans="1:6">
      <c r="A12" s="111" t="s">
        <v>2825</v>
      </c>
      <c r="D12" s="112" t="s">
        <v>1182</v>
      </c>
      <c r="E12" s="132" t="s">
        <v>1270</v>
      </c>
    </row>
    <row r="13" spans="1:6">
      <c r="A13" s="111" t="s">
        <v>2826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16"/>
      <c r="B18" s="121"/>
      <c r="C18" s="2" t="s">
        <v>2827</v>
      </c>
    </row>
    <row r="20" spans="1:6">
      <c r="A20" s="112" t="s">
        <v>2828</v>
      </c>
      <c r="B20" s="116"/>
      <c r="C20" s="111" t="s">
        <v>2829</v>
      </c>
      <c r="F20" s="111">
        <f>8400*42.58/100</f>
        <v>3576.72</v>
      </c>
    </row>
    <row r="22" spans="1:6">
      <c r="C22" s="111" t="s">
        <v>2831</v>
      </c>
      <c r="F22" s="111">
        <v>30</v>
      </c>
    </row>
    <row r="23" spans="1:6">
      <c r="A23" s="148"/>
      <c r="C23" s="120"/>
    </row>
    <row r="24" spans="1:6">
      <c r="A24" s="116"/>
      <c r="B24" s="251"/>
      <c r="C24" s="111" t="s">
        <v>2830</v>
      </c>
    </row>
    <row r="27" spans="1:6">
      <c r="A27" s="120"/>
    </row>
    <row r="28" spans="1:6">
      <c r="C28" s="2"/>
      <c r="F28" s="149"/>
    </row>
    <row r="29" spans="1:6">
      <c r="A29" s="148"/>
      <c r="B29" s="121"/>
      <c r="C29" s="120"/>
    </row>
    <row r="33" spans="1:6" ht="13.5" thickBot="1">
      <c r="F33" s="127">
        <f>SUM(F20:F32)</f>
        <v>3606.72</v>
      </c>
    </row>
    <row r="34" spans="1:6" ht="13.5" thickTop="1"/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Three Thousand Six Hundred Six and 72/100 -----------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1-000000000000}">
  <sheetPr codeName="Sheet366">
    <pageSetUpPr fitToPage="1"/>
  </sheetPr>
  <dimension ref="A1:F59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4.42578125" style="111" customWidth="1"/>
    <col min="3" max="3" width="22.42578125" style="111" customWidth="1"/>
    <col min="4" max="4" width="13.140625" style="111" customWidth="1"/>
    <col min="5" max="5" width="8.2851562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2" t="s">
        <v>4359</v>
      </c>
    </row>
    <row r="10" spans="1:6">
      <c r="A10" s="111" t="s">
        <v>2900</v>
      </c>
      <c r="D10" s="112" t="s">
        <v>1180</v>
      </c>
      <c r="E10" s="112" t="s">
        <v>4358</v>
      </c>
    </row>
    <row r="11" spans="1:6">
      <c r="A11" s="111" t="s">
        <v>4073</v>
      </c>
      <c r="D11" s="112" t="s">
        <v>1181</v>
      </c>
      <c r="E11" s="112" t="s">
        <v>1094</v>
      </c>
    </row>
    <row r="12" spans="1:6">
      <c r="A12" s="111" t="s">
        <v>2901</v>
      </c>
      <c r="D12" s="112" t="s">
        <v>1182</v>
      </c>
      <c r="E12" s="120" t="s">
        <v>4357</v>
      </c>
    </row>
    <row r="13" spans="1:6">
      <c r="A13" s="111" t="s">
        <v>2902</v>
      </c>
    </row>
    <row r="14" spans="1:6">
      <c r="A14" s="111" t="s">
        <v>1287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4317</v>
      </c>
      <c r="F18" s="149"/>
    </row>
    <row r="19" spans="1:6">
      <c r="F19" s="149"/>
    </row>
    <row r="20" spans="1:6">
      <c r="A20" s="161" t="s">
        <v>4360</v>
      </c>
      <c r="B20" s="116" t="s">
        <v>4361</v>
      </c>
      <c r="C20" s="111" t="s">
        <v>4362</v>
      </c>
      <c r="F20" s="149">
        <f>172*30</f>
        <v>5160</v>
      </c>
    </row>
    <row r="21" spans="1:6">
      <c r="A21" s="148"/>
      <c r="B21" s="157"/>
    </row>
    <row r="22" spans="1:6">
      <c r="A22" s="161"/>
      <c r="B22" s="116"/>
    </row>
    <row r="23" spans="1:6">
      <c r="A23" s="161"/>
      <c r="B23" s="116"/>
    </row>
    <row r="24" spans="1:6">
      <c r="A24" s="161"/>
      <c r="B24" s="116"/>
      <c r="F24" s="149"/>
    </row>
    <row r="25" spans="1:6">
      <c r="A25" s="148"/>
      <c r="B25" s="157"/>
    </row>
    <row r="26" spans="1:6">
      <c r="A26" s="161"/>
      <c r="B26" s="116"/>
    </row>
    <row r="27" spans="1:6">
      <c r="A27" s="148"/>
    </row>
    <row r="28" spans="1:6">
      <c r="A28" s="161"/>
      <c r="B28" s="116"/>
      <c r="F28" s="149"/>
    </row>
    <row r="29" spans="1:6">
      <c r="A29" s="148"/>
      <c r="B29" s="157"/>
    </row>
    <row r="30" spans="1:6">
      <c r="A30" s="161"/>
      <c r="B30" s="116"/>
    </row>
    <row r="31" spans="1:6">
      <c r="A31" s="148"/>
    </row>
    <row r="32" spans="1:6">
      <c r="A32" s="161"/>
      <c r="B32" s="116"/>
      <c r="F32" s="149"/>
    </row>
    <row r="33" spans="1:6">
      <c r="A33" s="148"/>
      <c r="B33" s="157"/>
    </row>
    <row r="34" spans="1:6">
      <c r="A34" s="161"/>
      <c r="B34" s="116"/>
    </row>
    <row r="35" spans="1:6">
      <c r="A35" s="161"/>
      <c r="B35" s="116"/>
    </row>
    <row r="36" spans="1:6">
      <c r="A36" s="161"/>
      <c r="B36" s="116"/>
      <c r="F36" s="149"/>
    </row>
    <row r="37" spans="1:6">
      <c r="A37" s="148"/>
      <c r="B37" s="157"/>
    </row>
    <row r="38" spans="1:6">
      <c r="A38" s="161"/>
      <c r="B38" s="116"/>
    </row>
    <row r="40" spans="1:6" ht="13.5" thickBot="1">
      <c r="F40" s="127">
        <f>SUM(F20:F39)</f>
        <v>5160</v>
      </c>
    </row>
    <row r="41" spans="1:6" ht="13.5" thickTop="1"/>
    <row r="42" spans="1:6" ht="20.100000000000001" customHeight="1">
      <c r="A42" s="118" t="s">
        <v>204</v>
      </c>
      <c r="B42" s="202" t="str">
        <f>IF(OR(F40&gt;1000000,F40&lt;=0),"",IF(F40&lt;1000,"",IF(MOD(F40,1000000)&gt;=100000,INDEX(numbers,TRUNC(MOD(F40,1000000)/100000,0)+1)&amp;" Hundred","")&amp;IF(MOD(F40,100000)&gt;=20000," "&amp;INDEX(tens,TRUNC(MOD(F40,100000)/10000,0)+1)&amp;IF(MOD(MOD(F40,100000),10000)&gt;=1000,"-"&amp;INDEX(numbers,TRUNC(MOD(MOD(F40,100000),10000)/1000,0)+1),""),IF(MOD(F40,100000)&gt;=1000," "&amp;INDEX(numbers,TRUNC(MOD(F40,100000)/1000,0)+1),""))&amp;" Thousand") &amp; IF(F40&lt;1,"Zero Dollars",IF(MOD(F40,1000)&gt;=100," "&amp;INDEX(numbers,TRUNC(MOD(F40,1000)/100,0)+1)&amp;" Hundred","")&amp;IF(MOD(F40,100)&gt;=20," "&amp;INDEX(tens,TRUNC(MOD(F40,100)/10,0)+1)&amp;IF(MOD(MOD(F40,100),10)&gt;=1,"-"&amp;INDEX(numbers,TRUNC(MOD(MOD(F40,100),10),0)+1),""),IF(MOD(F40,100)&gt;=1," "&amp;INDEX(numbers,TRUNC(MOD(F40,100),0)+1),""))&amp;"") &amp; " and " &amp; IF(MOD(F40,1)&lt;0.005,"NO",ROUND(MOD(F40,1)*100,0)) &amp; "/100 -----------")</f>
        <v xml:space="preserve"> Five Thousand One Hundred Sixty and NO/100 -----------</v>
      </c>
      <c r="C42" s="119"/>
      <c r="D42" s="119"/>
      <c r="E42" s="119"/>
      <c r="F42" s="119"/>
    </row>
    <row r="43" spans="1:6">
      <c r="A43" s="120" t="s">
        <v>11</v>
      </c>
    </row>
    <row r="44" spans="1:6" ht="25.5">
      <c r="A44" s="126" t="s">
        <v>10</v>
      </c>
      <c r="D44" s="265" t="s">
        <v>2894</v>
      </c>
      <c r="E44" s="266"/>
      <c r="F44" s="267"/>
    </row>
    <row r="46" spans="1:6">
      <c r="A46" s="126"/>
    </row>
    <row r="47" spans="1:6">
      <c r="A47" s="111" t="s">
        <v>52</v>
      </c>
      <c r="C47" s="121"/>
    </row>
    <row r="48" spans="1:6">
      <c r="A48" s="122"/>
      <c r="B48" s="122"/>
    </row>
    <row r="50" spans="1:6">
      <c r="A50" s="123" t="s">
        <v>8</v>
      </c>
      <c r="D50" s="123" t="s">
        <v>7</v>
      </c>
      <c r="F50" s="124"/>
    </row>
    <row r="54" spans="1:6">
      <c r="A54" s="277"/>
      <c r="B54" s="122"/>
      <c r="D54" s="122"/>
      <c r="E54" s="122"/>
      <c r="F54" s="122"/>
    </row>
    <row r="55" spans="1:6" s="126" customFormat="1" ht="17.100000000000001" customHeight="1">
      <c r="A55" s="111" t="s">
        <v>2948</v>
      </c>
      <c r="B55" s="125"/>
      <c r="D55" s="126" t="s">
        <v>3</v>
      </c>
    </row>
    <row r="56" spans="1:6">
      <c r="D56" s="111" t="s">
        <v>2</v>
      </c>
    </row>
    <row r="58" spans="1:6">
      <c r="D58" s="2" t="s">
        <v>1</v>
      </c>
    </row>
    <row r="59" spans="1:6">
      <c r="D59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94">
    <pageSetUpPr fitToPage="1"/>
  </sheetPr>
  <dimension ref="A1:N53"/>
  <sheetViews>
    <sheetView zoomScaleNormal="100"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6.42578125" style="131" customWidth="1"/>
    <col min="5" max="5" width="9" style="131" customWidth="1"/>
    <col min="6" max="6" width="13.28515625" style="131" customWidth="1"/>
    <col min="7" max="16384" width="9.140625" style="86"/>
  </cols>
  <sheetData>
    <row r="1" spans="1:14" ht="15">
      <c r="A1" s="531" t="s">
        <v>26</v>
      </c>
      <c r="B1" s="531"/>
      <c r="C1" s="531"/>
      <c r="D1" s="531"/>
      <c r="E1" s="531"/>
      <c r="F1" s="531"/>
    </row>
    <row r="2" spans="1:14">
      <c r="A2" s="532" t="s">
        <v>25</v>
      </c>
      <c r="B2" s="532"/>
      <c r="C2" s="532"/>
      <c r="D2" s="532"/>
      <c r="E2" s="532"/>
      <c r="F2" s="532"/>
    </row>
    <row r="3" spans="1:14">
      <c r="A3" s="532" t="s">
        <v>1480</v>
      </c>
      <c r="B3" s="532"/>
      <c r="C3" s="532"/>
      <c r="D3" s="532"/>
      <c r="E3" s="532"/>
      <c r="F3" s="532"/>
    </row>
    <row r="4" spans="1:14">
      <c r="A4" s="532" t="s">
        <v>1684</v>
      </c>
      <c r="B4" s="532"/>
      <c r="C4" s="532"/>
      <c r="D4" s="532"/>
      <c r="E4" s="532"/>
      <c r="F4" s="532"/>
    </row>
    <row r="8" spans="1:14">
      <c r="A8" s="131" t="s">
        <v>24</v>
      </c>
      <c r="D8" s="87" t="s">
        <v>23</v>
      </c>
    </row>
    <row r="9" spans="1:14">
      <c r="A9" s="131" t="s">
        <v>3524</v>
      </c>
      <c r="D9" s="132" t="s">
        <v>1110</v>
      </c>
      <c r="E9" s="131" t="s">
        <v>3803</v>
      </c>
    </row>
    <row r="10" spans="1:14">
      <c r="A10" s="131" t="s">
        <v>3525</v>
      </c>
      <c r="D10" s="132" t="s">
        <v>1685</v>
      </c>
      <c r="E10" s="132" t="s">
        <v>3802</v>
      </c>
    </row>
    <row r="11" spans="1:14">
      <c r="A11" s="131" t="s">
        <v>1149</v>
      </c>
      <c r="D11" s="132" t="s">
        <v>1163</v>
      </c>
      <c r="E11" s="132" t="s">
        <v>1094</v>
      </c>
    </row>
    <row r="12" spans="1:14">
      <c r="A12" s="131" t="s">
        <v>3526</v>
      </c>
      <c r="D12" s="132" t="s">
        <v>1188</v>
      </c>
      <c r="E12" s="132" t="s">
        <v>3804</v>
      </c>
    </row>
    <row r="13" spans="1:14">
      <c r="A13" s="131" t="s">
        <v>3527</v>
      </c>
    </row>
    <row r="16" spans="1:14" s="95" customFormat="1" ht="20.100000000000001" customHeight="1">
      <c r="A16" s="91" t="s">
        <v>1097</v>
      </c>
      <c r="B16" s="91" t="s">
        <v>1098</v>
      </c>
      <c r="C16" s="92" t="s">
        <v>14</v>
      </c>
      <c r="D16" s="90"/>
      <c r="E16" s="93"/>
      <c r="F16" s="94" t="s">
        <v>13</v>
      </c>
      <c r="K16" s="131" t="s">
        <v>3518</v>
      </c>
      <c r="L16" s="131"/>
      <c r="M16" s="131"/>
      <c r="N16" s="131"/>
    </row>
    <row r="17" spans="1:14">
      <c r="A17" s="177"/>
      <c r="K17" s="131"/>
      <c r="L17" s="131"/>
      <c r="M17" s="131"/>
      <c r="N17" s="131"/>
    </row>
    <row r="18" spans="1:14">
      <c r="A18" s="116"/>
      <c r="B18" s="313"/>
      <c r="C18" s="2" t="s">
        <v>3096</v>
      </c>
      <c r="D18" s="111"/>
      <c r="E18" s="111"/>
      <c r="F18" s="111"/>
      <c r="K18" s="131" t="s">
        <v>3519</v>
      </c>
      <c r="L18" s="131"/>
      <c r="M18" s="131"/>
      <c r="N18" s="131">
        <f>3868*0.03</f>
        <v>116.03999999999999</v>
      </c>
    </row>
    <row r="19" spans="1:14">
      <c r="A19" s="120"/>
      <c r="B19" s="313"/>
      <c r="C19" s="111"/>
      <c r="D19" s="111"/>
      <c r="E19" s="111"/>
      <c r="F19" s="111"/>
      <c r="K19" s="131" t="s">
        <v>3520</v>
      </c>
      <c r="L19" s="131"/>
      <c r="M19" s="131"/>
      <c r="N19" s="131">
        <f>2601*0.5</f>
        <v>1300.5</v>
      </c>
    </row>
    <row r="20" spans="1:14">
      <c r="A20" s="112" t="s">
        <v>2834</v>
      </c>
      <c r="B20" s="241"/>
      <c r="C20" s="131" t="s">
        <v>3805</v>
      </c>
      <c r="D20" s="111"/>
      <c r="E20" s="111"/>
      <c r="F20" s="111">
        <v>1000</v>
      </c>
      <c r="K20" s="131" t="s">
        <v>1814</v>
      </c>
      <c r="L20" s="131"/>
      <c r="M20" s="131"/>
      <c r="N20" s="131">
        <v>84.99</v>
      </c>
    </row>
    <row r="21" spans="1:14">
      <c r="A21" s="116"/>
      <c r="B21" s="241"/>
      <c r="C21" s="131" t="s">
        <v>3806</v>
      </c>
      <c r="D21" s="111"/>
      <c r="E21" s="111"/>
      <c r="F21" s="111"/>
      <c r="K21" s="131"/>
      <c r="L21" s="131"/>
      <c r="M21" s="131"/>
      <c r="N21" s="131"/>
    </row>
    <row r="22" spans="1:14">
      <c r="A22" s="158"/>
      <c r="B22" s="158"/>
      <c r="K22" s="131" t="s">
        <v>3521</v>
      </c>
      <c r="L22" s="131"/>
      <c r="M22" s="131"/>
      <c r="N22" s="131"/>
    </row>
    <row r="23" spans="1:14">
      <c r="A23" s="158"/>
      <c r="B23" s="158"/>
      <c r="K23" s="131" t="s">
        <v>3522</v>
      </c>
      <c r="L23" s="131"/>
      <c r="M23" s="131"/>
      <c r="N23" s="131">
        <f>3810*0.03</f>
        <v>114.3</v>
      </c>
    </row>
    <row r="24" spans="1:14">
      <c r="A24" s="158"/>
      <c r="B24" s="158"/>
      <c r="K24" s="131" t="s">
        <v>3523</v>
      </c>
      <c r="L24" s="131"/>
      <c r="M24" s="131"/>
      <c r="N24" s="131">
        <f>705*0.5</f>
        <v>352.5</v>
      </c>
    </row>
    <row r="25" spans="1:14">
      <c r="K25" s="131" t="s">
        <v>1814</v>
      </c>
      <c r="L25" s="131"/>
      <c r="M25" s="131"/>
      <c r="N25" s="131">
        <v>28.01</v>
      </c>
    </row>
    <row r="27" spans="1:14">
      <c r="A27" s="158"/>
      <c r="B27" s="158"/>
    </row>
    <row r="28" spans="1:14">
      <c r="A28" s="158"/>
      <c r="B28" s="158"/>
    </row>
    <row r="29" spans="1:14">
      <c r="A29" s="158"/>
      <c r="B29" s="158"/>
    </row>
    <row r="33" spans="1:6">
      <c r="A33" s="177"/>
      <c r="F33" s="86"/>
    </row>
    <row r="34" spans="1:6" ht="13.5" thickBot="1">
      <c r="A34" s="177"/>
      <c r="F34" s="137">
        <f>SUM(F18:F33)</f>
        <v>1000</v>
      </c>
    </row>
    <row r="35" spans="1:6" ht="13.5" thickTop="1">
      <c r="A35" s="177"/>
    </row>
    <row r="36" spans="1:6" ht="20.100000000000001" customHeight="1">
      <c r="A36" s="138" t="s">
        <v>1686</v>
      </c>
      <c r="B36" s="204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and NO/100 -----------</v>
      </c>
      <c r="C36" s="139"/>
      <c r="D36" s="293"/>
      <c r="E36" s="292"/>
      <c r="F36" s="292"/>
    </row>
    <row r="37" spans="1:6">
      <c r="A37" s="140"/>
    </row>
    <row r="38" spans="1:6" ht="25.5">
      <c r="A38" s="131" t="s">
        <v>10</v>
      </c>
      <c r="D38" s="283" t="s">
        <v>2894</v>
      </c>
      <c r="E38" s="284"/>
      <c r="F38" s="285"/>
    </row>
    <row r="39" spans="1:6">
      <c r="D39" s="291"/>
      <c r="E39" s="291"/>
      <c r="F39" s="291"/>
    </row>
    <row r="40" spans="1:6">
      <c r="D40" s="286"/>
      <c r="E40" s="287"/>
      <c r="F40" s="287"/>
    </row>
    <row r="41" spans="1:6">
      <c r="A41" s="86"/>
    </row>
    <row r="42" spans="1:6">
      <c r="A42" s="142"/>
      <c r="B42" s="142"/>
    </row>
    <row r="44" spans="1:6">
      <c r="A44" s="131" t="s">
        <v>8</v>
      </c>
      <c r="D44" s="143" t="s">
        <v>7</v>
      </c>
      <c r="F44" s="144"/>
    </row>
    <row r="48" spans="1:6">
      <c r="A48" s="142" t="s">
        <v>51</v>
      </c>
      <c r="B48" s="142"/>
      <c r="D48" s="142"/>
      <c r="E48" s="142"/>
      <c r="F48" s="142"/>
    </row>
    <row r="49" spans="1:6" s="109" customFormat="1" ht="17.100000000000001" customHeight="1">
      <c r="A49" s="147" t="s">
        <v>2948</v>
      </c>
      <c r="B49" s="146"/>
      <c r="C49" s="147"/>
      <c r="D49" s="147" t="s">
        <v>3</v>
      </c>
      <c r="E49" s="147"/>
      <c r="F49" s="147"/>
    </row>
    <row r="50" spans="1:6">
      <c r="D50" s="131" t="s">
        <v>2</v>
      </c>
    </row>
    <row r="52" spans="1:6">
      <c r="D52" s="110" t="s">
        <v>1</v>
      </c>
    </row>
    <row r="53" spans="1:6">
      <c r="D53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4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1-000000000000}">
  <sheetPr codeName="Sheet367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85546875" style="111" customWidth="1"/>
    <col min="4" max="4" width="22.42578125" style="111" customWidth="1"/>
    <col min="5" max="5" width="1.4257812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A9" s="111" t="s">
        <v>3030</v>
      </c>
      <c r="F9" s="112" t="s">
        <v>1134</v>
      </c>
      <c r="G9" s="126" t="s">
        <v>5135</v>
      </c>
    </row>
    <row r="10" spans="1:8">
      <c r="A10" s="111" t="s">
        <v>4939</v>
      </c>
      <c r="F10" s="112" t="s">
        <v>1180</v>
      </c>
      <c r="G10" s="160" t="s">
        <v>5136</v>
      </c>
    </row>
    <row r="11" spans="1:8">
      <c r="A11" s="111" t="s">
        <v>3032</v>
      </c>
      <c r="F11" s="112" t="s">
        <v>1181</v>
      </c>
      <c r="G11" s="160" t="s">
        <v>1094</v>
      </c>
    </row>
    <row r="12" spans="1:8">
      <c r="F12" s="112" t="s">
        <v>1182</v>
      </c>
      <c r="G12" s="160" t="s">
        <v>1270</v>
      </c>
    </row>
    <row r="16" spans="1:8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A18" s="116"/>
      <c r="B18" s="121"/>
      <c r="C18" s="121"/>
      <c r="D18" s="2" t="s">
        <v>4940</v>
      </c>
      <c r="E18" s="2"/>
    </row>
    <row r="20" spans="1:8">
      <c r="A20" s="116" t="s">
        <v>5101</v>
      </c>
      <c r="B20" s="241" t="s">
        <v>5102</v>
      </c>
      <c r="C20" s="241"/>
      <c r="D20" s="111" t="s">
        <v>5103</v>
      </c>
      <c r="H20" s="111">
        <v>74259.34</v>
      </c>
    </row>
    <row r="22" spans="1:8">
      <c r="A22" s="116" t="s">
        <v>5101</v>
      </c>
      <c r="B22" s="241" t="s">
        <v>5138</v>
      </c>
      <c r="C22" s="241"/>
      <c r="D22" s="111" t="s">
        <v>5137</v>
      </c>
      <c r="H22" s="111">
        <v>22874.31</v>
      </c>
    </row>
    <row r="23" spans="1:8">
      <c r="A23" s="148"/>
    </row>
    <row r="24" spans="1:8">
      <c r="A24" s="116"/>
      <c r="B24" s="121"/>
      <c r="C24" s="121"/>
      <c r="D24" s="111" t="s">
        <v>1697</v>
      </c>
      <c r="H24" s="111">
        <v>10</v>
      </c>
    </row>
    <row r="27" spans="1:8">
      <c r="A27" s="120"/>
    </row>
    <row r="29" spans="1:8">
      <c r="A29" s="148"/>
      <c r="B29" s="121"/>
      <c r="C29" s="121"/>
    </row>
    <row r="34" spans="1:8">
      <c r="H34" s="122"/>
    </row>
    <row r="35" spans="1:8" ht="13.5" thickBot="1">
      <c r="H35" s="127">
        <f>SUM(H18:H33)</f>
        <v>97143.65</v>
      </c>
    </row>
    <row r="36" spans="1:8" ht="13.5" thickTop="1"/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Ninety-Seven Thousand One Hundred Forty-Three and 65/100 -----------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26" t="s">
        <v>10</v>
      </c>
      <c r="F39" s="265" t="s">
        <v>2894</v>
      </c>
      <c r="G39" s="266"/>
      <c r="H39" s="267"/>
    </row>
    <row r="42" spans="1:8">
      <c r="A42" s="111" t="s">
        <v>52</v>
      </c>
      <c r="D42" s="121"/>
      <c r="E42" s="121"/>
    </row>
    <row r="43" spans="1:8">
      <c r="A43" s="122"/>
      <c r="B43" s="122"/>
    </row>
    <row r="45" spans="1:8">
      <c r="A45" s="123" t="s">
        <v>8</v>
      </c>
      <c r="D45" s="123" t="s">
        <v>8</v>
      </c>
      <c r="F45" s="123" t="s">
        <v>7</v>
      </c>
      <c r="H45" s="124"/>
    </row>
    <row r="49" spans="1:8">
      <c r="A49" s="122" t="s">
        <v>51</v>
      </c>
      <c r="B49" s="122"/>
      <c r="D49" s="122" t="s">
        <v>51</v>
      </c>
      <c r="F49" s="122"/>
      <c r="G49" s="122"/>
      <c r="H49" s="122"/>
    </row>
    <row r="50" spans="1:8" s="126" customFormat="1" ht="17.100000000000001" customHeight="1">
      <c r="A50" s="151" t="s">
        <v>2948</v>
      </c>
      <c r="B50" s="125"/>
      <c r="C50" s="125"/>
      <c r="D50" s="151" t="s">
        <v>103</v>
      </c>
      <c r="F50" s="126" t="s">
        <v>3</v>
      </c>
    </row>
    <row r="51" spans="1:8">
      <c r="F51" s="111" t="s">
        <v>2</v>
      </c>
    </row>
    <row r="53" spans="1:8">
      <c r="F53" s="2" t="s">
        <v>1</v>
      </c>
    </row>
    <row r="54" spans="1:8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4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1-000000000000}">
  <sheetPr codeName="Sheet368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3014</v>
      </c>
      <c r="F9" s="111"/>
    </row>
    <row r="10" spans="1:6">
      <c r="A10" s="111" t="s">
        <v>3016</v>
      </c>
      <c r="B10" s="111"/>
      <c r="C10" s="111"/>
      <c r="D10" s="112" t="s">
        <v>1162</v>
      </c>
      <c r="E10" s="123" t="s">
        <v>3001</v>
      </c>
      <c r="F10" s="111"/>
    </row>
    <row r="11" spans="1:6">
      <c r="A11" s="111" t="s">
        <v>3017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1365</v>
      </c>
      <c r="B12" s="111"/>
      <c r="C12" s="111"/>
      <c r="D12" s="112" t="s">
        <v>1135</v>
      </c>
      <c r="E12" s="120" t="s">
        <v>3015</v>
      </c>
      <c r="F12" s="111"/>
    </row>
    <row r="13" spans="1:6">
      <c r="A13" s="111" t="s">
        <v>3018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6"/>
      <c r="B18" s="121"/>
      <c r="C18" s="2" t="s">
        <v>3019</v>
      </c>
      <c r="F18" s="111"/>
    </row>
    <row r="20" spans="1:6">
      <c r="A20" s="116"/>
      <c r="B20" s="116" t="s">
        <v>3020</v>
      </c>
      <c r="C20" s="111" t="s">
        <v>3021</v>
      </c>
      <c r="F20" s="111">
        <v>400</v>
      </c>
    </row>
    <row r="21" spans="1:6">
      <c r="A21" s="116"/>
      <c r="B21" s="121"/>
      <c r="C21" s="111" t="s">
        <v>3022</v>
      </c>
      <c r="F21" s="111"/>
    </row>
    <row r="22" spans="1:6">
      <c r="A22" s="116"/>
      <c r="B22" s="121"/>
      <c r="C22" s="111"/>
      <c r="D22" s="111"/>
      <c r="E22" s="111"/>
      <c r="F22" s="111"/>
    </row>
    <row r="23" spans="1:6">
      <c r="A23" s="116"/>
      <c r="B23" s="121"/>
      <c r="C23" s="111"/>
      <c r="D23" s="111"/>
      <c r="E23" s="111"/>
      <c r="F23" s="111"/>
    </row>
    <row r="24" spans="1:6">
      <c r="A24" s="116"/>
      <c r="B24" s="116"/>
      <c r="C24" s="111"/>
      <c r="D24" s="111"/>
      <c r="E24" s="111"/>
      <c r="F24" s="111"/>
    </row>
    <row r="25" spans="1:6">
      <c r="A25" s="116"/>
      <c r="B25" s="116"/>
      <c r="C25" s="111"/>
      <c r="D25" s="111"/>
      <c r="E25" s="111"/>
      <c r="F25" s="111"/>
    </row>
    <row r="26" spans="1:6">
      <c r="A26" s="116"/>
      <c r="B26" s="116"/>
      <c r="C26" s="111"/>
      <c r="D26" s="111"/>
      <c r="E26" s="111"/>
      <c r="F26" s="111"/>
    </row>
    <row r="27" spans="1:6">
      <c r="A27" s="116"/>
      <c r="B27" s="116"/>
      <c r="C27" s="111"/>
      <c r="D27" s="111"/>
      <c r="E27" s="111"/>
      <c r="F27" s="111"/>
    </row>
    <row r="28" spans="1:6">
      <c r="A28" s="116"/>
      <c r="B28" s="120"/>
      <c r="C28" s="111"/>
      <c r="D28" s="111"/>
      <c r="E28" s="111"/>
      <c r="F28" s="111"/>
    </row>
    <row r="29" spans="1:6">
      <c r="A29" s="116"/>
      <c r="B29" s="120"/>
      <c r="C29" s="2"/>
      <c r="D29" s="111"/>
      <c r="E29" s="111"/>
      <c r="F29" s="111"/>
    </row>
    <row r="30" spans="1:6">
      <c r="B30" s="120"/>
      <c r="C30" s="111"/>
      <c r="D30" s="111"/>
      <c r="E30" s="111"/>
      <c r="F30" s="111"/>
    </row>
    <row r="31" spans="1:6">
      <c r="A31" s="116"/>
      <c r="B31" s="116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400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Four Hundred and NO/100 -----------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 ht="25.5">
      <c r="A37" s="111" t="s">
        <v>10</v>
      </c>
      <c r="B37" s="111"/>
      <c r="C37" s="111"/>
      <c r="D37" s="265" t="s">
        <v>2894</v>
      </c>
      <c r="E37" s="266"/>
      <c r="F37" s="267"/>
    </row>
    <row r="38" spans="1:6">
      <c r="A38" s="111"/>
      <c r="B38" s="111"/>
      <c r="C38" s="111"/>
      <c r="D38" s="111"/>
      <c r="E38" s="111"/>
      <c r="F38" s="111"/>
    </row>
    <row r="39" spans="1:6">
      <c r="A39" s="126"/>
      <c r="B39" s="111"/>
      <c r="C39" s="111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B42" s="111"/>
      <c r="C42" s="111"/>
      <c r="D42" s="111"/>
      <c r="E42" s="111"/>
      <c r="F42" s="111"/>
    </row>
    <row r="43" spans="1:6">
      <c r="A43" s="123" t="s">
        <v>8</v>
      </c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51" t="s">
        <v>2948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/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1-000000000000}">
  <sheetPr codeName="Sheet369">
    <pageSetUpPr fitToPage="1"/>
  </sheetPr>
  <dimension ref="A1:F53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26" t="s">
        <v>3145</v>
      </c>
    </row>
    <row r="10" spans="1:6">
      <c r="A10" s="111" t="s">
        <v>3146</v>
      </c>
      <c r="D10" s="112" t="s">
        <v>1162</v>
      </c>
      <c r="E10" s="160" t="s">
        <v>3126</v>
      </c>
    </row>
    <row r="11" spans="1:6">
      <c r="A11" s="111" t="s">
        <v>3147</v>
      </c>
      <c r="D11" s="112" t="s">
        <v>1163</v>
      </c>
      <c r="E11" s="160" t="s">
        <v>1094</v>
      </c>
    </row>
    <row r="12" spans="1:6">
      <c r="A12" s="111" t="s">
        <v>3148</v>
      </c>
      <c r="D12" s="112" t="s">
        <v>1135</v>
      </c>
      <c r="E12" s="160" t="s">
        <v>3157</v>
      </c>
    </row>
    <row r="13" spans="1:6">
      <c r="A13" s="111" t="s">
        <v>3149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3150</v>
      </c>
    </row>
    <row r="20" spans="1:6">
      <c r="A20" s="116" t="s">
        <v>3151</v>
      </c>
      <c r="B20" s="116" t="s">
        <v>3152</v>
      </c>
      <c r="C20" s="111" t="s">
        <v>3154</v>
      </c>
      <c r="F20" s="111">
        <f>5620+1000+1980+825+200</f>
        <v>9625</v>
      </c>
    </row>
    <row r="21" spans="1:6">
      <c r="C21" s="111" t="s">
        <v>3153</v>
      </c>
    </row>
    <row r="23" spans="1:6">
      <c r="A23" s="116" t="s">
        <v>3151</v>
      </c>
      <c r="B23" s="116" t="s">
        <v>3152</v>
      </c>
      <c r="C23" s="111" t="s">
        <v>3155</v>
      </c>
      <c r="F23" s="111">
        <f>1250+450+165+130+420+450+4620</f>
        <v>7485</v>
      </c>
    </row>
    <row r="24" spans="1:6">
      <c r="C24" s="111" t="s">
        <v>3156</v>
      </c>
    </row>
    <row r="25" spans="1:6">
      <c r="C25" s="2"/>
    </row>
    <row r="26" spans="1:6">
      <c r="C26" s="2"/>
    </row>
    <row r="27" spans="1:6">
      <c r="C27" s="2"/>
    </row>
    <row r="28" spans="1:6">
      <c r="C28" s="2"/>
    </row>
    <row r="29" spans="1:6">
      <c r="A29" s="116"/>
      <c r="B29" s="116"/>
    </row>
    <row r="34" spans="1:6" ht="13.5" thickBot="1">
      <c r="F34" s="127">
        <f>SUM(F20:F32)</f>
        <v>17110</v>
      </c>
    </row>
    <row r="35" spans="1:6" ht="13.5" thickTop="1"/>
    <row r="36" spans="1:6" ht="20.100000000000001" customHeight="1">
      <c r="A36" s="118" t="s">
        <v>1133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Seventeen Thousand One Hundred Ten and NO/100 -----------</v>
      </c>
      <c r="C36" s="119"/>
      <c r="D36" s="119"/>
      <c r="E36" s="119"/>
      <c r="F36" s="261"/>
    </row>
    <row r="37" spans="1:6">
      <c r="A37" s="120"/>
    </row>
    <row r="38" spans="1:6" ht="25.5">
      <c r="A38" s="123" t="s">
        <v>10</v>
      </c>
      <c r="D38" s="265" t="s">
        <v>2894</v>
      </c>
      <c r="E38" s="266"/>
      <c r="F38" s="267"/>
    </row>
    <row r="39" spans="1:6">
      <c r="A39" s="126"/>
    </row>
    <row r="40" spans="1:6">
      <c r="A40" s="123"/>
    </row>
    <row r="41" spans="1:6">
      <c r="A41" s="123"/>
      <c r="C41" s="121"/>
    </row>
    <row r="42" spans="1:6">
      <c r="A42" s="150"/>
      <c r="B42" s="122"/>
    </row>
    <row r="44" spans="1:6">
      <c r="A44" s="123" t="s">
        <v>8</v>
      </c>
      <c r="D44" s="123" t="s">
        <v>7</v>
      </c>
      <c r="F44" s="124"/>
    </row>
    <row r="45" spans="1:6">
      <c r="A45" s="123"/>
    </row>
    <row r="46" spans="1:6">
      <c r="A46" s="123"/>
    </row>
    <row r="47" spans="1:6">
      <c r="A47" s="123"/>
    </row>
    <row r="48" spans="1:6">
      <c r="A48" s="150"/>
      <c r="B48" s="122"/>
      <c r="D48" s="122"/>
      <c r="E48" s="122"/>
      <c r="F48" s="122"/>
    </row>
    <row r="49" spans="1:4" s="126" customFormat="1" ht="17.100000000000001" customHeight="1">
      <c r="A49" s="151" t="s">
        <v>2948</v>
      </c>
      <c r="B49" s="125"/>
      <c r="D49" s="126" t="s">
        <v>3</v>
      </c>
    </row>
    <row r="50" spans="1:4">
      <c r="A50" s="151"/>
      <c r="D50" s="111" t="s">
        <v>2</v>
      </c>
    </row>
    <row r="51" spans="1:4">
      <c r="A51" s="123"/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4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1-000000000000}">
  <sheetPr codeName="Sheet370">
    <pageSetUpPr fitToPage="1"/>
  </sheetPr>
  <dimension ref="A1:G54"/>
  <sheetViews>
    <sheetView topLeftCell="A13" workbookViewId="0">
      <selection activeCell="G9" sqref="G9:G13"/>
    </sheetView>
  </sheetViews>
  <sheetFormatPr defaultRowHeight="12.75"/>
  <cols>
    <col min="1" max="1" width="16.140625" style="1" customWidth="1"/>
    <col min="2" max="2" width="14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3029</v>
      </c>
      <c r="F9" s="111"/>
    </row>
    <row r="10" spans="1:6">
      <c r="A10" s="111" t="s">
        <v>3030</v>
      </c>
      <c r="B10" s="111"/>
      <c r="C10" s="111"/>
      <c r="D10" s="112" t="s">
        <v>1162</v>
      </c>
      <c r="E10" s="123" t="s">
        <v>3023</v>
      </c>
      <c r="F10" s="111"/>
    </row>
    <row r="11" spans="1:6">
      <c r="A11" s="111" t="s">
        <v>3031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3032</v>
      </c>
      <c r="B12" s="111"/>
      <c r="C12" s="111"/>
      <c r="D12" s="112" t="s">
        <v>1135</v>
      </c>
      <c r="E12" s="120" t="s">
        <v>1270</v>
      </c>
      <c r="F12" s="111"/>
    </row>
    <row r="13" spans="1:6">
      <c r="A13" s="111" t="s">
        <v>3033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 t="s">
        <v>3034</v>
      </c>
      <c r="D18" s="111"/>
      <c r="E18" s="111"/>
      <c r="F18" s="111"/>
    </row>
    <row r="19" spans="1:7">
      <c r="A19" s="112"/>
      <c r="B19" s="116"/>
      <c r="C19" s="2"/>
      <c r="D19" s="111"/>
      <c r="E19" s="111"/>
      <c r="F19" s="111"/>
      <c r="G19" s="111"/>
    </row>
    <row r="20" spans="1:7">
      <c r="A20" s="116" t="s">
        <v>3035</v>
      </c>
      <c r="B20" s="116" t="s">
        <v>3036</v>
      </c>
      <c r="C20" s="111" t="s">
        <v>3037</v>
      </c>
      <c r="D20" s="111"/>
      <c r="E20" s="111"/>
      <c r="F20" s="111">
        <v>59999.99</v>
      </c>
      <c r="G20" s="111"/>
    </row>
    <row r="21" spans="1:7">
      <c r="A21" s="116"/>
      <c r="B21" s="120"/>
      <c r="C21" s="111"/>
      <c r="G21" s="111"/>
    </row>
    <row r="22" spans="1:7">
      <c r="A22" s="116"/>
      <c r="B22" s="120"/>
      <c r="C22" s="111" t="s">
        <v>1697</v>
      </c>
      <c r="D22" s="111"/>
      <c r="E22" s="111"/>
      <c r="F22" s="111">
        <v>10</v>
      </c>
      <c r="G22" s="111"/>
    </row>
    <row r="23" spans="1:7">
      <c r="A23" s="116"/>
      <c r="B23" s="120"/>
      <c r="C23" s="111"/>
      <c r="D23" s="111"/>
      <c r="E23" s="111"/>
      <c r="F23" s="111"/>
      <c r="G23" s="111"/>
    </row>
    <row r="24" spans="1:7">
      <c r="A24" s="116"/>
      <c r="B24" s="120"/>
      <c r="C24" s="167"/>
      <c r="D24" s="111"/>
      <c r="E24" s="111"/>
      <c r="F24" s="111"/>
      <c r="G24" s="111"/>
    </row>
    <row r="25" spans="1:7">
      <c r="A25" s="116"/>
      <c r="B25" s="120"/>
      <c r="C25" s="111"/>
      <c r="D25" s="111"/>
      <c r="E25" s="111"/>
      <c r="F25" s="111"/>
      <c r="G25" s="111"/>
    </row>
    <row r="26" spans="1:7">
      <c r="A26" s="116"/>
      <c r="B26" s="120"/>
      <c r="C26" s="111"/>
      <c r="D26" s="111"/>
      <c r="E26" s="111"/>
      <c r="F26" s="111"/>
      <c r="G26" s="111"/>
    </row>
    <row r="27" spans="1:7">
      <c r="A27" s="116"/>
      <c r="B27" s="120"/>
      <c r="G27" s="111"/>
    </row>
    <row r="28" spans="1:7">
      <c r="A28" s="116"/>
      <c r="B28" s="120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1"/>
      <c r="B32" s="111"/>
      <c r="C32" s="111"/>
      <c r="D32" s="111"/>
      <c r="E32" s="111"/>
      <c r="G32" s="111"/>
    </row>
    <row r="33" spans="1:7" ht="13.5" thickBot="1">
      <c r="A33" s="111"/>
      <c r="B33" s="111"/>
      <c r="C33" s="111"/>
      <c r="D33" s="111"/>
      <c r="E33" s="111"/>
      <c r="F33" s="117">
        <f>SUM(F20:F32)</f>
        <v>60009.99</v>
      </c>
      <c r="G33" s="111"/>
    </row>
    <row r="34" spans="1:7" ht="13.5" thickTop="1">
      <c r="A34" s="111"/>
      <c r="B34" s="111"/>
      <c r="C34" s="111"/>
      <c r="D34" s="111"/>
      <c r="E34" s="111"/>
      <c r="F34" s="111"/>
      <c r="G34" s="111"/>
    </row>
    <row r="35" spans="1:7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Sixty Thousand Nine and 99/100 -----------</v>
      </c>
      <c r="C35" s="119"/>
      <c r="D35" s="119"/>
      <c r="E35" s="119"/>
      <c r="F35" s="119"/>
      <c r="G35" s="111"/>
    </row>
    <row r="36" spans="1:7">
      <c r="A36" s="120" t="s">
        <v>11</v>
      </c>
      <c r="B36" s="111"/>
      <c r="C36" s="111"/>
      <c r="D36" s="111"/>
      <c r="E36" s="111"/>
      <c r="F36" s="111"/>
    </row>
    <row r="37" spans="1:7" ht="25.5">
      <c r="A37" s="126" t="s">
        <v>10</v>
      </c>
      <c r="B37" s="111"/>
      <c r="C37" s="111"/>
      <c r="D37" s="265" t="s">
        <v>2894</v>
      </c>
      <c r="E37" s="266"/>
      <c r="F37" s="267"/>
    </row>
    <row r="38" spans="1:7">
      <c r="A38" s="111"/>
      <c r="B38" s="111"/>
      <c r="C38" s="111"/>
      <c r="D38" s="111"/>
      <c r="E38" s="111"/>
      <c r="F38" s="111"/>
    </row>
    <row r="39" spans="1:7">
      <c r="A39" s="126"/>
      <c r="B39" s="111"/>
      <c r="C39" s="111"/>
    </row>
    <row r="40" spans="1:7">
      <c r="A40" s="111"/>
      <c r="B40" s="111"/>
      <c r="C40" s="121"/>
      <c r="D40" s="111"/>
      <c r="E40" s="111"/>
      <c r="F40" s="111"/>
    </row>
    <row r="41" spans="1:7">
      <c r="A41" s="122"/>
      <c r="B41" s="122"/>
      <c r="C41" s="111"/>
      <c r="D41" s="111"/>
      <c r="E41" s="111"/>
      <c r="F41" s="111"/>
    </row>
    <row r="42" spans="1:7">
      <c r="B42" s="111"/>
      <c r="C42" s="111"/>
      <c r="D42" s="111"/>
      <c r="E42" s="111"/>
      <c r="F42" s="111"/>
    </row>
    <row r="43" spans="1:7">
      <c r="A43" s="123" t="s">
        <v>8</v>
      </c>
      <c r="C43" s="111"/>
      <c r="D43" s="123" t="s">
        <v>7</v>
      </c>
      <c r="E43" s="111"/>
      <c r="F43" s="124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11"/>
      <c r="D45" s="111"/>
      <c r="E45" s="111"/>
      <c r="F45" s="111"/>
    </row>
    <row r="46" spans="1:7">
      <c r="A46" s="111"/>
      <c r="B46" s="111"/>
      <c r="C46" s="111"/>
      <c r="D46" s="111"/>
      <c r="E46" s="111"/>
      <c r="F46" s="111"/>
    </row>
    <row r="47" spans="1:7">
      <c r="A47" s="122"/>
      <c r="B47" s="122"/>
      <c r="C47" s="111"/>
      <c r="D47" s="122"/>
      <c r="E47" s="122"/>
      <c r="F47" s="122"/>
    </row>
    <row r="48" spans="1:7" s="3" customFormat="1" ht="17.100000000000001" customHeight="1">
      <c r="A48" s="151" t="s">
        <v>2948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/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4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1-000000000000}">
  <sheetPr codeName="Sheet371">
    <pageSetUpPr fitToPage="1"/>
  </sheetPr>
  <dimension ref="A1:F54"/>
  <sheetViews>
    <sheetView topLeftCell="A4" workbookViewId="0">
      <selection activeCell="G9" sqref="G9:G13"/>
    </sheetView>
  </sheetViews>
  <sheetFormatPr defaultRowHeight="12.75"/>
  <cols>
    <col min="1" max="1" width="15.42578125" style="86" customWidth="1"/>
    <col min="2" max="2" width="14.28515625" style="86" customWidth="1"/>
    <col min="3" max="3" width="23" style="86" customWidth="1"/>
    <col min="4" max="4" width="13.85546875" style="86" customWidth="1"/>
    <col min="5" max="5" width="9" style="86" customWidth="1"/>
    <col min="6" max="6" width="12.85546875" style="86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1481</v>
      </c>
      <c r="B4" s="532"/>
      <c r="C4" s="532"/>
      <c r="D4" s="532"/>
      <c r="E4" s="532"/>
      <c r="F4" s="532"/>
    </row>
    <row r="8" spans="1:6">
      <c r="A8" s="131" t="s">
        <v>24</v>
      </c>
      <c r="B8" s="131"/>
      <c r="C8" s="131"/>
      <c r="D8" s="87" t="s">
        <v>23</v>
      </c>
      <c r="E8" s="131"/>
      <c r="F8" s="131"/>
    </row>
    <row r="9" spans="1:6">
      <c r="A9" s="131"/>
      <c r="B9" s="131"/>
      <c r="C9" s="131"/>
      <c r="D9" s="132" t="s">
        <v>1127</v>
      </c>
      <c r="E9" s="131" t="s">
        <v>3074</v>
      </c>
      <c r="F9" s="131"/>
    </row>
    <row r="10" spans="1:6">
      <c r="A10" s="131" t="s">
        <v>3076</v>
      </c>
      <c r="B10" s="131"/>
      <c r="C10" s="131"/>
      <c r="D10" s="132" t="s">
        <v>1162</v>
      </c>
      <c r="E10" s="143" t="s">
        <v>3073</v>
      </c>
      <c r="F10" s="131"/>
    </row>
    <row r="11" spans="1:6">
      <c r="A11" s="131" t="s">
        <v>3077</v>
      </c>
      <c r="B11" s="131"/>
      <c r="C11" s="131"/>
      <c r="D11" s="132" t="s">
        <v>1163</v>
      </c>
      <c r="E11" s="132" t="s">
        <v>1094</v>
      </c>
      <c r="F11" s="131"/>
    </row>
    <row r="12" spans="1:6">
      <c r="A12" s="131"/>
      <c r="B12" s="131"/>
      <c r="C12" s="131"/>
      <c r="D12" s="132" t="s">
        <v>1135</v>
      </c>
      <c r="E12" s="140" t="s">
        <v>3075</v>
      </c>
      <c r="F12" s="131"/>
    </row>
    <row r="13" spans="1:6">
      <c r="A13" s="131"/>
      <c r="B13" s="131"/>
      <c r="C13" s="131"/>
      <c r="D13" s="131"/>
      <c r="E13" s="131"/>
      <c r="F13" s="131"/>
    </row>
    <row r="14" spans="1:6">
      <c r="A14" s="131"/>
      <c r="B14" s="131"/>
      <c r="C14" s="131"/>
      <c r="D14" s="131"/>
      <c r="E14" s="131"/>
      <c r="F14" s="131"/>
    </row>
    <row r="15" spans="1:6">
      <c r="A15" s="131"/>
      <c r="B15" s="131"/>
      <c r="C15" s="131"/>
      <c r="D15" s="131"/>
      <c r="E15" s="131"/>
      <c r="F15" s="131"/>
    </row>
    <row r="16" spans="1:6" s="95" customFormat="1" ht="20.100000000000001" customHeight="1">
      <c r="A16" s="90" t="s">
        <v>1122</v>
      </c>
      <c r="B16" s="90" t="s">
        <v>1132</v>
      </c>
      <c r="C16" s="92" t="s">
        <v>14</v>
      </c>
      <c r="D16" s="90"/>
      <c r="E16" s="93"/>
      <c r="F16" s="94" t="s">
        <v>13</v>
      </c>
    </row>
    <row r="17" spans="1:6">
      <c r="A17" s="131"/>
      <c r="B17" s="131"/>
      <c r="C17" s="131"/>
      <c r="D17" s="131"/>
      <c r="E17" s="131"/>
      <c r="F17" s="131"/>
    </row>
    <row r="18" spans="1:6">
      <c r="A18" s="158"/>
      <c r="B18" s="141"/>
      <c r="C18" s="288" t="s">
        <v>3078</v>
      </c>
      <c r="F18" s="131"/>
    </row>
    <row r="19" spans="1:6">
      <c r="C19" s="143"/>
    </row>
    <row r="20" spans="1:6">
      <c r="A20" s="158" t="s">
        <v>3057</v>
      </c>
      <c r="B20" s="289" t="s">
        <v>3079</v>
      </c>
      <c r="C20" s="143" t="s">
        <v>3080</v>
      </c>
      <c r="F20" s="131">
        <v>2000</v>
      </c>
    </row>
    <row r="21" spans="1:6">
      <c r="A21" s="158"/>
      <c r="B21" s="141"/>
      <c r="C21" s="131"/>
      <c r="F21" s="131"/>
    </row>
    <row r="22" spans="1:6">
      <c r="A22" s="158"/>
      <c r="B22" s="141"/>
      <c r="C22" s="131"/>
      <c r="D22" s="131"/>
      <c r="E22" s="131"/>
      <c r="F22" s="131"/>
    </row>
    <row r="23" spans="1:6">
      <c r="A23" s="158"/>
      <c r="B23" s="141"/>
      <c r="C23" s="131"/>
      <c r="D23" s="131"/>
      <c r="E23" s="131"/>
      <c r="F23" s="131"/>
    </row>
    <row r="24" spans="1:6">
      <c r="A24" s="158"/>
      <c r="B24" s="158"/>
      <c r="C24" s="131"/>
      <c r="D24" s="131"/>
      <c r="E24" s="131"/>
      <c r="F24" s="131"/>
    </row>
    <row r="25" spans="1:6">
      <c r="A25" s="158"/>
      <c r="B25" s="158"/>
      <c r="C25" s="131"/>
      <c r="D25" s="131"/>
      <c r="E25" s="131"/>
      <c r="F25" s="131"/>
    </row>
    <row r="26" spans="1:6">
      <c r="A26" s="158"/>
      <c r="B26" s="158"/>
      <c r="C26" s="131"/>
      <c r="D26" s="131"/>
      <c r="E26" s="131"/>
      <c r="F26" s="131"/>
    </row>
    <row r="27" spans="1:6">
      <c r="A27" s="158"/>
      <c r="B27" s="158"/>
      <c r="C27" s="131"/>
      <c r="D27" s="131"/>
      <c r="E27" s="131"/>
      <c r="F27" s="131"/>
    </row>
    <row r="28" spans="1:6">
      <c r="A28" s="158"/>
      <c r="B28" s="140"/>
      <c r="C28" s="131"/>
      <c r="D28" s="131"/>
      <c r="E28" s="131"/>
      <c r="F28" s="131"/>
    </row>
    <row r="29" spans="1:6">
      <c r="A29" s="158"/>
      <c r="B29" s="140"/>
      <c r="C29" s="110"/>
      <c r="D29" s="131"/>
      <c r="E29" s="131"/>
      <c r="F29" s="131"/>
    </row>
    <row r="30" spans="1:6">
      <c r="B30" s="140"/>
      <c r="C30" s="131"/>
      <c r="D30" s="131"/>
      <c r="E30" s="131"/>
      <c r="F30" s="131"/>
    </row>
    <row r="31" spans="1:6">
      <c r="A31" s="158"/>
      <c r="B31" s="158"/>
      <c r="C31" s="131"/>
      <c r="D31" s="131"/>
      <c r="E31" s="131"/>
      <c r="F31" s="131"/>
    </row>
    <row r="32" spans="1:6">
      <c r="A32" s="131"/>
      <c r="B32" s="131"/>
      <c r="C32" s="131"/>
      <c r="D32" s="131"/>
      <c r="E32" s="131"/>
    </row>
    <row r="33" spans="1:6" ht="13.5" thickBot="1">
      <c r="A33" s="131"/>
      <c r="B33" s="131"/>
      <c r="C33" s="131"/>
      <c r="D33" s="131"/>
      <c r="E33" s="131"/>
      <c r="F33" s="137">
        <f>SUM(F18:F32)</f>
        <v>2000</v>
      </c>
    </row>
    <row r="34" spans="1:6" ht="13.5" thickTop="1">
      <c r="A34" s="131"/>
      <c r="B34" s="131"/>
      <c r="C34" s="131"/>
      <c r="D34" s="131"/>
      <c r="E34" s="131"/>
      <c r="F34" s="131"/>
    </row>
    <row r="35" spans="1:6" ht="20.100000000000001" customHeight="1">
      <c r="A35" s="138" t="s">
        <v>1133</v>
      </c>
      <c r="B35" s="204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Thousand and NO/100 -----------</v>
      </c>
      <c r="C35" s="139"/>
      <c r="D35" s="139"/>
      <c r="E35" s="139"/>
      <c r="F35" s="139"/>
    </row>
    <row r="36" spans="1:6">
      <c r="A36" s="140" t="s">
        <v>11</v>
      </c>
      <c r="B36" s="131"/>
      <c r="C36" s="131"/>
      <c r="D36" s="131"/>
      <c r="E36" s="131"/>
      <c r="F36" s="131"/>
    </row>
    <row r="37" spans="1:6">
      <c r="A37" s="131" t="s">
        <v>10</v>
      </c>
      <c r="B37" s="131"/>
      <c r="C37" s="131"/>
      <c r="D37" s="131"/>
      <c r="E37" s="131"/>
      <c r="F37" s="131"/>
    </row>
    <row r="38" spans="1:6">
      <c r="A38" s="131"/>
      <c r="B38" s="131"/>
      <c r="C38" s="131"/>
      <c r="D38" s="131"/>
      <c r="E38" s="131"/>
      <c r="F38" s="131"/>
    </row>
    <row r="39" spans="1:6" ht="25.5">
      <c r="A39" s="147"/>
      <c r="B39" s="131"/>
      <c r="C39" s="131"/>
      <c r="D39" s="283" t="s">
        <v>2894</v>
      </c>
      <c r="E39" s="284"/>
      <c r="F39" s="285"/>
    </row>
    <row r="40" spans="1:6">
      <c r="A40" s="131"/>
      <c r="B40" s="131"/>
      <c r="C40" s="141"/>
      <c r="D40" s="131"/>
      <c r="E40" s="131"/>
      <c r="F40" s="131"/>
    </row>
    <row r="41" spans="1:6">
      <c r="A41" s="142"/>
      <c r="B41" s="142"/>
      <c r="C41" s="131"/>
      <c r="D41" s="131"/>
      <c r="E41" s="131"/>
      <c r="F41" s="131"/>
    </row>
    <row r="42" spans="1:6">
      <c r="B42" s="131"/>
      <c r="C42" s="131"/>
      <c r="D42" s="131"/>
      <c r="E42" s="131"/>
      <c r="F42" s="131"/>
    </row>
    <row r="43" spans="1:6">
      <c r="A43" s="143" t="s">
        <v>8</v>
      </c>
      <c r="C43" s="131"/>
      <c r="D43" s="143" t="s">
        <v>7</v>
      </c>
      <c r="E43" s="131"/>
      <c r="F43" s="144"/>
    </row>
    <row r="44" spans="1:6">
      <c r="A44" s="131"/>
      <c r="B44" s="131"/>
      <c r="C44" s="131"/>
      <c r="D44" s="131"/>
      <c r="E44" s="131"/>
      <c r="F44" s="131"/>
    </row>
    <row r="45" spans="1:6">
      <c r="A45" s="131"/>
      <c r="B45" s="131"/>
      <c r="C45" s="131"/>
      <c r="D45" s="131"/>
      <c r="E45" s="131"/>
      <c r="F45" s="131"/>
    </row>
    <row r="46" spans="1:6">
      <c r="A46" s="131"/>
      <c r="B46" s="131"/>
      <c r="C46" s="131"/>
      <c r="D46" s="131"/>
      <c r="E46" s="131"/>
      <c r="F46" s="131"/>
    </row>
    <row r="47" spans="1:6">
      <c r="A47" s="142"/>
      <c r="B47" s="142"/>
      <c r="C47" s="131"/>
      <c r="D47" s="142"/>
      <c r="E47" s="142"/>
      <c r="F47" s="142"/>
    </row>
    <row r="48" spans="1:6" s="109" customFormat="1" ht="17.100000000000001" customHeight="1">
      <c r="A48" s="145" t="s">
        <v>2948</v>
      </c>
      <c r="B48" s="146"/>
      <c r="C48" s="147"/>
      <c r="D48" s="147" t="s">
        <v>3</v>
      </c>
      <c r="E48" s="147"/>
      <c r="F48" s="147"/>
    </row>
    <row r="49" spans="1:6">
      <c r="A49" s="131"/>
      <c r="B49" s="131"/>
      <c r="C49" s="131"/>
      <c r="D49" s="131" t="s">
        <v>2</v>
      </c>
      <c r="E49" s="131"/>
      <c r="F49" s="131"/>
    </row>
    <row r="50" spans="1:6">
      <c r="A50" s="145"/>
      <c r="B50" s="131"/>
      <c r="C50" s="131"/>
      <c r="D50" s="131"/>
      <c r="E50" s="131"/>
      <c r="F50" s="131"/>
    </row>
    <row r="51" spans="1:6">
      <c r="A51" s="131"/>
      <c r="B51" s="131"/>
      <c r="C51" s="131"/>
      <c r="D51" s="110" t="s">
        <v>1</v>
      </c>
      <c r="E51" s="131"/>
      <c r="F51" s="131"/>
    </row>
    <row r="52" spans="1:6">
      <c r="A52" s="131"/>
      <c r="B52" s="131"/>
      <c r="C52" s="131"/>
      <c r="D52" s="110" t="s">
        <v>0</v>
      </c>
      <c r="E52" s="131"/>
      <c r="F52" s="131"/>
    </row>
    <row r="53" spans="1:6">
      <c r="A53" s="131"/>
      <c r="B53" s="131"/>
      <c r="C53" s="131"/>
      <c r="D53" s="131"/>
      <c r="E53" s="131"/>
      <c r="F53" s="131"/>
    </row>
    <row r="54" spans="1:6">
      <c r="A54" s="131"/>
      <c r="B54" s="131"/>
      <c r="C54" s="131"/>
      <c r="D54" s="131"/>
      <c r="E54" s="131"/>
      <c r="F54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4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1-000000000000}">
  <sheetPr codeName="Sheet372"/>
  <dimension ref="A1:H53"/>
  <sheetViews>
    <sheetView topLeftCell="A7"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0.5703125" style="488" customWidth="1"/>
    <col min="4" max="4" width="21" style="131" customWidth="1"/>
    <col min="5" max="5" width="0.7109375" style="488" customWidth="1"/>
    <col min="6" max="6" width="16.42578125" style="131" customWidth="1"/>
    <col min="7" max="7" width="9" style="131" customWidth="1"/>
    <col min="8" max="8" width="13.28515625" style="131" customWidth="1"/>
    <col min="9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1110</v>
      </c>
      <c r="G9" s="483" t="s">
        <v>6453</v>
      </c>
    </row>
    <row r="10" spans="1:8">
      <c r="A10" s="131" t="s">
        <v>3177</v>
      </c>
      <c r="F10" s="132" t="s">
        <v>1685</v>
      </c>
      <c r="G10" s="487" t="s">
        <v>6442</v>
      </c>
    </row>
    <row r="11" spans="1:8">
      <c r="A11" s="131" t="s">
        <v>3178</v>
      </c>
      <c r="F11" s="132" t="s">
        <v>1163</v>
      </c>
      <c r="G11" s="484" t="s">
        <v>1094</v>
      </c>
    </row>
    <row r="12" spans="1:8">
      <c r="A12" s="131" t="s">
        <v>3179</v>
      </c>
      <c r="F12" s="132" t="s">
        <v>1188</v>
      </c>
      <c r="G12" s="486" t="s">
        <v>6454</v>
      </c>
    </row>
    <row r="13" spans="1:8">
      <c r="A13" s="131" t="s">
        <v>3180</v>
      </c>
      <c r="G13" s="488" t="s">
        <v>6182</v>
      </c>
    </row>
    <row r="14" spans="1:8">
      <c r="A14" s="131" t="s">
        <v>3181</v>
      </c>
    </row>
    <row r="16" spans="1:8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7" spans="1:8">
      <c r="A17" s="177"/>
    </row>
    <row r="18" spans="1:8">
      <c r="D18" s="110" t="s">
        <v>3176</v>
      </c>
      <c r="E18" s="491"/>
    </row>
    <row r="19" spans="1:8">
      <c r="A19" s="177"/>
      <c r="D19" s="110"/>
      <c r="E19" s="491"/>
    </row>
    <row r="20" spans="1:8">
      <c r="A20" s="492" t="s">
        <v>6446</v>
      </c>
      <c r="B20" s="492" t="s">
        <v>6455</v>
      </c>
      <c r="C20" s="492"/>
      <c r="D20" s="131" t="s">
        <v>6456</v>
      </c>
      <c r="H20" s="131">
        <v>9000</v>
      </c>
    </row>
    <row r="21" spans="1:8">
      <c r="A21" s="158"/>
      <c r="B21" s="140"/>
      <c r="C21" s="140"/>
      <c r="D21" s="131" t="s">
        <v>6457</v>
      </c>
    </row>
    <row r="22" spans="1:8">
      <c r="A22" s="158"/>
      <c r="B22" s="141"/>
      <c r="C22" s="141"/>
    </row>
    <row r="25" spans="1:8">
      <c r="A25" s="254"/>
      <c r="B25" s="141"/>
      <c r="C25" s="141"/>
    </row>
    <row r="27" spans="1:8">
      <c r="D27" s="110"/>
      <c r="E27" s="491"/>
    </row>
    <row r="28" spans="1:8">
      <c r="D28" s="110"/>
      <c r="E28" s="491"/>
    </row>
    <row r="29" spans="1:8">
      <c r="A29" s="158"/>
      <c r="B29" s="141"/>
      <c r="C29" s="141"/>
    </row>
    <row r="30" spans="1:8">
      <c r="A30" s="158"/>
      <c r="B30" s="141"/>
      <c r="C30" s="141"/>
    </row>
    <row r="31" spans="1:8">
      <c r="A31" s="141"/>
    </row>
    <row r="32" spans="1:8">
      <c r="A32" s="254"/>
      <c r="B32" s="140"/>
      <c r="C32" s="140"/>
    </row>
    <row r="33" spans="1:8">
      <c r="A33" s="103"/>
      <c r="B33" s="86"/>
      <c r="C33" s="86"/>
      <c r="D33" s="86"/>
      <c r="E33" s="86"/>
      <c r="F33" s="86"/>
      <c r="G33" s="86"/>
      <c r="H33" s="86"/>
    </row>
    <row r="34" spans="1:8" ht="13.5" thickBot="1">
      <c r="A34" s="177"/>
      <c r="H34" s="137">
        <f>SUM(H19:H33)</f>
        <v>9000</v>
      </c>
    </row>
    <row r="35" spans="1:8" ht="13.5" thickTop="1">
      <c r="A35" s="177"/>
    </row>
    <row r="36" spans="1:8" ht="20.100000000000001" customHeight="1">
      <c r="A36" s="138" t="s">
        <v>1686</v>
      </c>
      <c r="B36" s="204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Nine Thousand and NO/100 -----------</v>
      </c>
      <c r="C36" s="204"/>
      <c r="D36" s="139"/>
      <c r="E36" s="139"/>
      <c r="F36" s="293"/>
      <c r="G36" s="292"/>
      <c r="H36" s="292"/>
    </row>
    <row r="37" spans="1:8">
      <c r="A37" s="140"/>
    </row>
    <row r="38" spans="1:8" ht="25.5">
      <c r="A38" s="131" t="s">
        <v>10</v>
      </c>
      <c r="F38" s="283" t="s">
        <v>2894</v>
      </c>
      <c r="G38" s="284"/>
      <c r="H38" s="285"/>
    </row>
    <row r="39" spans="1:8">
      <c r="F39" s="291"/>
      <c r="G39" s="291"/>
      <c r="H39" s="291"/>
    </row>
    <row r="40" spans="1:8">
      <c r="F40" s="286"/>
      <c r="G40" s="287"/>
      <c r="H40" s="287"/>
    </row>
    <row r="41" spans="1:8">
      <c r="A41" s="86"/>
    </row>
    <row r="42" spans="1:8">
      <c r="A42" s="142"/>
      <c r="B42" s="142"/>
      <c r="C42" s="445"/>
    </row>
    <row r="44" spans="1:8">
      <c r="A44" s="131" t="s">
        <v>8</v>
      </c>
      <c r="D44" s="488" t="s">
        <v>8</v>
      </c>
      <c r="F44" s="143" t="s">
        <v>7</v>
      </c>
      <c r="H44" s="144"/>
    </row>
    <row r="45" spans="1:8">
      <c r="D45" s="488"/>
    </row>
    <row r="46" spans="1:8">
      <c r="D46" s="488"/>
    </row>
    <row r="47" spans="1:8">
      <c r="D47" s="488"/>
    </row>
    <row r="48" spans="1:8">
      <c r="A48" s="142" t="s">
        <v>51</v>
      </c>
      <c r="B48" s="142"/>
      <c r="C48" s="445"/>
      <c r="D48" s="142" t="s">
        <v>51</v>
      </c>
      <c r="F48" s="142"/>
      <c r="G48" s="142"/>
      <c r="H48" s="142"/>
    </row>
    <row r="49" spans="1:8" s="109" customFormat="1" ht="17.100000000000001" customHeight="1">
      <c r="A49" s="147" t="s">
        <v>2948</v>
      </c>
      <c r="B49" s="146"/>
      <c r="C49" s="146"/>
      <c r="D49" s="490" t="s">
        <v>103</v>
      </c>
      <c r="E49" s="490"/>
      <c r="F49" s="147" t="s">
        <v>3</v>
      </c>
      <c r="G49" s="147"/>
      <c r="H49" s="147"/>
    </row>
    <row r="50" spans="1:8">
      <c r="F50" s="131" t="s">
        <v>2</v>
      </c>
    </row>
    <row r="52" spans="1:8">
      <c r="F52" s="110" t="s">
        <v>1</v>
      </c>
    </row>
    <row r="53" spans="1:8">
      <c r="F53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4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1-000000000000}">
  <sheetPr codeName="Sheet373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2.140625" style="111" customWidth="1"/>
    <col min="3" max="3" width="0.5703125" style="111" customWidth="1"/>
    <col min="4" max="4" width="23" style="111" customWidth="1"/>
    <col min="5" max="5" width="1" style="111" customWidth="1"/>
    <col min="6" max="6" width="13.5703125" style="111" customWidth="1"/>
    <col min="7" max="7" width="9.5703125" style="111" customWidth="1"/>
    <col min="8" max="8" width="13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1090</v>
      </c>
      <c r="G9" s="111" t="s">
        <v>6309</v>
      </c>
    </row>
    <row r="10" spans="1:8">
      <c r="A10" s="111" t="s">
        <v>3183</v>
      </c>
      <c r="F10" s="112" t="s">
        <v>1340</v>
      </c>
      <c r="G10" s="112" t="s">
        <v>6293</v>
      </c>
    </row>
    <row r="11" spans="1:8">
      <c r="F11" s="112" t="s">
        <v>1341</v>
      </c>
      <c r="G11" s="112" t="s">
        <v>1094</v>
      </c>
    </row>
    <row r="12" spans="1:8">
      <c r="F12" s="112" t="s">
        <v>1135</v>
      </c>
      <c r="G12" s="112" t="s">
        <v>6304</v>
      </c>
    </row>
    <row r="16" spans="1:8" s="15" customFormat="1" ht="20.100000000000001" customHeight="1">
      <c r="A16" s="18" t="s">
        <v>1113</v>
      </c>
      <c r="B16" s="129" t="s">
        <v>1114</v>
      </c>
      <c r="C16" s="129"/>
      <c r="D16" s="533" t="s">
        <v>14</v>
      </c>
      <c r="E16" s="533"/>
      <c r="F16" s="533"/>
      <c r="G16" s="17"/>
      <c r="H16" s="16" t="s">
        <v>13</v>
      </c>
    </row>
    <row r="18" spans="1:8">
      <c r="A18" s="116"/>
      <c r="B18" s="116"/>
      <c r="C18" s="116"/>
      <c r="D18" s="2" t="s">
        <v>6305</v>
      </c>
      <c r="E18" s="2"/>
    </row>
    <row r="20" spans="1:8">
      <c r="A20" s="116" t="s">
        <v>6306</v>
      </c>
      <c r="B20" s="121" t="s">
        <v>5160</v>
      </c>
      <c r="C20" s="121"/>
      <c r="D20" s="111" t="s">
        <v>6308</v>
      </c>
      <c r="H20" s="111">
        <v>500</v>
      </c>
    </row>
    <row r="21" spans="1:8">
      <c r="A21" s="116"/>
      <c r="B21" s="116" t="s">
        <v>6307</v>
      </c>
      <c r="C21" s="121"/>
    </row>
    <row r="22" spans="1:8">
      <c r="A22" s="116"/>
      <c r="B22" s="116"/>
      <c r="C22" s="116"/>
      <c r="D22" s="2"/>
      <c r="E22" s="2"/>
    </row>
    <row r="23" spans="1:8">
      <c r="A23" s="116"/>
      <c r="B23" s="121"/>
    </row>
    <row r="24" spans="1:8">
      <c r="A24" s="116"/>
      <c r="B24" s="116"/>
      <c r="C24" s="121"/>
    </row>
    <row r="25" spans="1:8">
      <c r="A25" s="116"/>
      <c r="B25" s="116"/>
      <c r="C25" s="121"/>
    </row>
    <row r="26" spans="1:8">
      <c r="A26" s="116"/>
      <c r="B26" s="121"/>
      <c r="C26" s="121"/>
    </row>
    <row r="35" spans="1:8" ht="13.5" thickBot="1">
      <c r="H35" s="117">
        <f>SUM(H18:H34)</f>
        <v>500</v>
      </c>
    </row>
    <row r="36" spans="1:8" ht="13.5" thickTop="1"/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Five Hundred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11" t="s">
        <v>10</v>
      </c>
      <c r="F39" s="265" t="s">
        <v>2894</v>
      </c>
      <c r="G39" s="266" t="s">
        <v>3298</v>
      </c>
      <c r="H39" s="267"/>
    </row>
    <row r="41" spans="1:8">
      <c r="A41" s="126"/>
    </row>
    <row r="42" spans="1:8">
      <c r="D42" s="121"/>
      <c r="E42" s="121"/>
    </row>
    <row r="43" spans="1:8">
      <c r="A43" s="122"/>
      <c r="B43" s="122"/>
    </row>
    <row r="45" spans="1:8">
      <c r="A45" s="123" t="s">
        <v>8</v>
      </c>
      <c r="D45" s="123" t="s">
        <v>8</v>
      </c>
      <c r="F45" s="123" t="s">
        <v>7</v>
      </c>
      <c r="H45" s="124"/>
    </row>
    <row r="49" spans="1:8">
      <c r="A49" s="122"/>
      <c r="B49" s="122"/>
      <c r="D49" s="122"/>
      <c r="F49" s="122"/>
      <c r="G49" s="122"/>
      <c r="H49" s="122"/>
    </row>
    <row r="50" spans="1:8" s="126" customFormat="1" ht="17.100000000000001" customHeight="1">
      <c r="A50" s="111" t="s">
        <v>2948</v>
      </c>
      <c r="B50" s="125"/>
      <c r="C50" s="125"/>
      <c r="D50" s="111" t="s">
        <v>103</v>
      </c>
      <c r="F50" s="126" t="s">
        <v>3</v>
      </c>
    </row>
    <row r="51" spans="1:8">
      <c r="F51" s="111" t="s">
        <v>2</v>
      </c>
    </row>
    <row r="52" spans="1:8">
      <c r="A52" s="151"/>
    </row>
    <row r="53" spans="1:8">
      <c r="F53" s="2" t="s">
        <v>1</v>
      </c>
    </row>
    <row r="54" spans="1:8">
      <c r="F54" s="2" t="s">
        <v>0</v>
      </c>
    </row>
  </sheetData>
  <mergeCells count="5">
    <mergeCell ref="A1:H1"/>
    <mergeCell ref="A2:H2"/>
    <mergeCell ref="A3:H3"/>
    <mergeCell ref="A4:H4"/>
    <mergeCell ref="D16:F16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4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1-000000000000}">
  <sheetPr codeName="Sheet374"/>
  <dimension ref="A1:M56"/>
  <sheetViews>
    <sheetView topLeftCell="A7" zoomScaleNormal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.28515625" style="1" customWidth="1"/>
    <col min="4" max="4" width="21.5703125" style="1" customWidth="1"/>
    <col min="5" max="5" width="1.42578125" style="1" customWidth="1"/>
    <col min="6" max="6" width="12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420" t="s">
        <v>6074</v>
      </c>
      <c r="H9" s="111"/>
    </row>
    <row r="10" spans="1:8">
      <c r="A10" s="111" t="s">
        <v>3234</v>
      </c>
      <c r="B10" s="111"/>
      <c r="C10" s="111"/>
      <c r="D10" s="111"/>
      <c r="E10" s="111"/>
      <c r="F10" s="112" t="s">
        <v>1162</v>
      </c>
      <c r="G10" s="420" t="s">
        <v>6069</v>
      </c>
      <c r="H10" s="111"/>
    </row>
    <row r="11" spans="1:8">
      <c r="A11" s="111" t="s">
        <v>3235</v>
      </c>
      <c r="B11" s="111"/>
      <c r="C11" s="111"/>
      <c r="D11" s="111"/>
      <c r="E11" s="111"/>
      <c r="F11" s="112" t="s">
        <v>1163</v>
      </c>
      <c r="G11" s="420" t="s">
        <v>1094</v>
      </c>
      <c r="H11" s="111"/>
    </row>
    <row r="12" spans="1:8">
      <c r="A12" s="111" t="s">
        <v>3236</v>
      </c>
      <c r="B12" s="111"/>
      <c r="C12" s="111"/>
      <c r="D12" s="111"/>
      <c r="E12" s="111"/>
      <c r="F12" s="112" t="s">
        <v>1135</v>
      </c>
      <c r="G12" s="421" t="s">
        <v>6075</v>
      </c>
      <c r="H12" s="111"/>
    </row>
    <row r="13" spans="1:8">
      <c r="A13" s="111" t="s">
        <v>1572</v>
      </c>
      <c r="B13" s="111"/>
      <c r="C13" s="111"/>
      <c r="D13" s="111"/>
      <c r="E13" s="111"/>
      <c r="F13" s="111"/>
      <c r="G13" s="131" t="s">
        <v>5775</v>
      </c>
      <c r="H13" s="111"/>
    </row>
    <row r="14" spans="1:8">
      <c r="A14" s="111" t="s">
        <v>1287</v>
      </c>
      <c r="B14" s="111"/>
      <c r="C14" s="111"/>
      <c r="D14" s="111"/>
      <c r="E14" s="111"/>
      <c r="F14" s="111"/>
      <c r="G14" s="111"/>
      <c r="H14" s="111"/>
    </row>
    <row r="15" spans="1:8">
      <c r="A15" s="111" t="s">
        <v>3237</v>
      </c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468"/>
      <c r="D16" s="19" t="s">
        <v>14</v>
      </c>
      <c r="E16" s="19"/>
      <c r="F16" s="18"/>
      <c r="G16" s="17"/>
      <c r="H16" s="16" t="s">
        <v>13</v>
      </c>
    </row>
    <row r="17" spans="1:13">
      <c r="A17" s="111"/>
      <c r="B17" s="111"/>
      <c r="C17" s="111"/>
      <c r="D17" s="111"/>
      <c r="E17" s="111"/>
      <c r="F17" s="111"/>
      <c r="G17" s="111"/>
      <c r="H17" s="111"/>
      <c r="J17" s="111" t="s">
        <v>4154</v>
      </c>
      <c r="K17" s="111"/>
      <c r="L17" s="111"/>
      <c r="M17" s="111">
        <f>31.5*44</f>
        <v>1386</v>
      </c>
    </row>
    <row r="18" spans="1:13">
      <c r="A18" s="116"/>
      <c r="B18" s="116"/>
      <c r="C18" s="116"/>
      <c r="D18" s="2" t="s">
        <v>4051</v>
      </c>
      <c r="E18" s="2"/>
      <c r="F18" s="111"/>
      <c r="G18" s="111"/>
      <c r="H18" s="111"/>
      <c r="J18" s="111"/>
      <c r="K18" s="111"/>
      <c r="L18" s="111"/>
      <c r="M18" s="111"/>
    </row>
    <row r="19" spans="1:13">
      <c r="J19" s="111" t="s">
        <v>1814</v>
      </c>
      <c r="K19" s="111"/>
      <c r="L19" s="111"/>
      <c r="M19" s="111">
        <f>M17*6%</f>
        <v>83.16</v>
      </c>
    </row>
    <row r="20" spans="1:13">
      <c r="A20" s="116" t="s">
        <v>6076</v>
      </c>
      <c r="B20" s="116" t="s">
        <v>6077</v>
      </c>
      <c r="C20" s="116"/>
      <c r="D20" s="111" t="s">
        <v>6079</v>
      </c>
      <c r="E20" s="111"/>
      <c r="F20" s="111"/>
      <c r="G20" s="111"/>
      <c r="H20" s="111">
        <v>3450</v>
      </c>
    </row>
    <row r="21" spans="1:13">
      <c r="A21" s="111"/>
      <c r="B21" s="111"/>
      <c r="C21" s="111"/>
      <c r="D21" s="111" t="s">
        <v>6078</v>
      </c>
      <c r="E21" s="111"/>
      <c r="F21" s="111"/>
      <c r="G21" s="111"/>
      <c r="H21" s="111"/>
      <c r="J21" s="111" t="s">
        <v>4155</v>
      </c>
      <c r="M21" s="111">
        <f>31.5*44</f>
        <v>1386</v>
      </c>
    </row>
    <row r="22" spans="1:13">
      <c r="A22" s="116"/>
      <c r="B22" s="116"/>
      <c r="C22" s="116"/>
      <c r="D22" s="111" t="s">
        <v>5984</v>
      </c>
      <c r="E22" s="111"/>
      <c r="F22" s="111"/>
      <c r="G22" s="111"/>
      <c r="H22" s="111">
        <f>H20*10%</f>
        <v>345</v>
      </c>
    </row>
    <row r="23" spans="1:13">
      <c r="A23" s="111"/>
      <c r="B23" s="111"/>
      <c r="C23" s="111"/>
      <c r="D23" s="111"/>
      <c r="E23" s="111"/>
      <c r="F23" s="111"/>
      <c r="G23" s="111"/>
      <c r="H23" s="111"/>
      <c r="J23" s="111" t="s">
        <v>1814</v>
      </c>
      <c r="M23" s="111">
        <f>M21*6%</f>
        <v>83.16</v>
      </c>
    </row>
    <row r="24" spans="1:13">
      <c r="A24" s="111"/>
      <c r="B24" s="111"/>
      <c r="C24" s="111"/>
      <c r="D24" s="111"/>
      <c r="E24" s="111"/>
      <c r="F24" s="111"/>
      <c r="G24" s="111"/>
      <c r="H24" s="111"/>
    </row>
    <row r="25" spans="1:13">
      <c r="A25" s="252"/>
      <c r="B25" s="157"/>
      <c r="C25" s="157"/>
      <c r="D25" s="111"/>
      <c r="E25" s="111"/>
      <c r="F25" s="111"/>
      <c r="G25" s="111"/>
      <c r="H25" s="111"/>
    </row>
    <row r="26" spans="1:13">
      <c r="A26" s="111"/>
      <c r="B26" s="111"/>
      <c r="C26" s="111"/>
      <c r="D26" s="2"/>
      <c r="E26" s="2"/>
      <c r="F26" s="111"/>
      <c r="G26" s="111"/>
      <c r="H26" s="111"/>
    </row>
    <row r="27" spans="1:13">
      <c r="A27" s="159"/>
      <c r="B27" s="111"/>
      <c r="C27" s="111"/>
      <c r="D27" s="2"/>
      <c r="E27" s="2"/>
      <c r="F27" s="111"/>
      <c r="G27" s="111"/>
      <c r="H27" s="111"/>
    </row>
    <row r="28" spans="1:13">
      <c r="A28" s="161"/>
      <c r="B28" s="116"/>
      <c r="C28" s="116"/>
      <c r="D28" s="111"/>
      <c r="E28" s="111"/>
      <c r="F28" s="111"/>
      <c r="G28" s="111"/>
      <c r="H28" s="111"/>
    </row>
    <row r="29" spans="1:13">
      <c r="A29" s="252"/>
      <c r="B29" s="111"/>
      <c r="C29" s="111"/>
      <c r="D29" s="111"/>
      <c r="E29" s="111"/>
      <c r="F29" s="111"/>
      <c r="G29" s="111"/>
      <c r="H29" s="111"/>
    </row>
    <row r="30" spans="1:13">
      <c r="A30" s="148"/>
      <c r="B30" s="111"/>
      <c r="C30" s="111"/>
      <c r="D30" s="111"/>
      <c r="E30" s="111"/>
      <c r="F30" s="111"/>
      <c r="G30" s="111"/>
      <c r="H30" s="111"/>
    </row>
    <row r="31" spans="1:13">
      <c r="A31" s="111"/>
      <c r="B31" s="111"/>
      <c r="C31" s="111"/>
      <c r="D31" s="111"/>
      <c r="E31" s="111"/>
      <c r="F31" s="111"/>
      <c r="G31" s="111"/>
      <c r="H31" s="111"/>
    </row>
    <row r="32" spans="1:13">
      <c r="A32" s="159"/>
      <c r="B32" s="111"/>
      <c r="C32" s="111"/>
      <c r="D32" s="111"/>
      <c r="E32" s="111"/>
      <c r="F32" s="111"/>
      <c r="G32" s="111"/>
      <c r="H32" s="111"/>
    </row>
    <row r="33" spans="1:8">
      <c r="A33" s="252"/>
      <c r="B33" s="111"/>
      <c r="C33" s="111"/>
      <c r="D33" s="111"/>
      <c r="E33" s="111"/>
      <c r="F33" s="111"/>
      <c r="G33" s="111"/>
      <c r="H33" s="111"/>
    </row>
    <row r="34" spans="1:8">
      <c r="A34" s="148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27">
        <f>SUM(H18:H34)</f>
        <v>3795</v>
      </c>
    </row>
    <row r="36" spans="1:8" ht="13.5" thickTop="1">
      <c r="A36" s="126"/>
      <c r="B36" s="111"/>
      <c r="C36" s="111"/>
      <c r="D36" s="111"/>
      <c r="E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Thousand Seven Hundred Ninety-Five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5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433"/>
      <c r="D43" s="111"/>
      <c r="E43" s="111"/>
      <c r="F43" s="111"/>
      <c r="G43" s="111"/>
      <c r="H43" s="111"/>
    </row>
    <row r="44" spans="1:8"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433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1-000000000000}">
  <sheetPr codeName="Sheet375"/>
  <dimension ref="A1:N58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0.7109375" style="1" customWidth="1"/>
    <col min="4" max="4" width="23" style="1" customWidth="1"/>
    <col min="5" max="5" width="0.7109375" style="1" customWidth="1"/>
    <col min="6" max="6" width="15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14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4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4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4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4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4">
      <c r="A9" s="111"/>
      <c r="B9" s="111"/>
      <c r="C9" s="111"/>
      <c r="D9" s="111"/>
      <c r="E9" s="111"/>
      <c r="F9" s="112" t="s">
        <v>1127</v>
      </c>
      <c r="G9" s="111" t="s">
        <v>5835</v>
      </c>
      <c r="H9" s="111"/>
    </row>
    <row r="10" spans="1:14">
      <c r="A10" s="111" t="s">
        <v>3269</v>
      </c>
      <c r="B10" s="111"/>
      <c r="C10" s="111"/>
      <c r="D10" s="111"/>
      <c r="E10" s="111"/>
      <c r="F10" s="112" t="s">
        <v>1162</v>
      </c>
      <c r="G10" s="132" t="s">
        <v>5830</v>
      </c>
      <c r="H10" s="111"/>
      <c r="K10" s="1" t="s">
        <v>4800</v>
      </c>
      <c r="L10" s="1">
        <v>43161</v>
      </c>
      <c r="N10" s="1" t="s">
        <v>4801</v>
      </c>
    </row>
    <row r="11" spans="1:14">
      <c r="A11" s="111" t="s">
        <v>3270</v>
      </c>
      <c r="B11" s="111"/>
      <c r="C11" s="111"/>
      <c r="D11" s="111"/>
      <c r="E11" s="111"/>
      <c r="F11" s="112" t="s">
        <v>1163</v>
      </c>
      <c r="G11" s="132" t="s">
        <v>1094</v>
      </c>
      <c r="H11" s="111"/>
    </row>
    <row r="12" spans="1:14">
      <c r="A12" s="111"/>
      <c r="B12" s="111"/>
      <c r="C12" s="111"/>
      <c r="D12" s="111"/>
      <c r="E12" s="111"/>
      <c r="F12" s="112" t="s">
        <v>1096</v>
      </c>
      <c r="G12" s="111" t="s">
        <v>5836</v>
      </c>
      <c r="H12" s="111"/>
    </row>
    <row r="13" spans="1:14">
      <c r="A13" s="111"/>
      <c r="B13" s="111"/>
      <c r="C13" s="111"/>
      <c r="D13" s="111"/>
      <c r="E13" s="111"/>
      <c r="F13" s="111"/>
      <c r="G13" s="111" t="s">
        <v>5775</v>
      </c>
      <c r="H13" s="111"/>
      <c r="K13" s="2" t="s">
        <v>4927</v>
      </c>
      <c r="L13" s="111"/>
      <c r="M13" s="111"/>
      <c r="N13" s="111"/>
    </row>
    <row r="14" spans="1:14">
      <c r="A14" s="111"/>
      <c r="B14" s="111"/>
      <c r="C14" s="111"/>
      <c r="D14" s="111"/>
      <c r="E14" s="111"/>
      <c r="F14" s="111"/>
      <c r="G14" s="111"/>
      <c r="H14" s="111"/>
      <c r="K14" s="2"/>
      <c r="L14" s="111"/>
      <c r="M14" s="111"/>
      <c r="N14" s="111"/>
    </row>
    <row r="15" spans="1:14">
      <c r="A15" s="111"/>
      <c r="B15" s="111"/>
      <c r="C15" s="111"/>
      <c r="D15" s="111"/>
      <c r="E15" s="111"/>
      <c r="F15" s="111"/>
      <c r="G15" s="111"/>
      <c r="H15" s="111"/>
      <c r="K15" s="111" t="s">
        <v>4667</v>
      </c>
      <c r="M15" s="111"/>
      <c r="N15" s="111">
        <f>1530</f>
        <v>1530</v>
      </c>
    </row>
    <row r="16" spans="1:14" s="15" customFormat="1" ht="20.100000000000001" customHeight="1">
      <c r="A16" s="18" t="s">
        <v>1122</v>
      </c>
      <c r="B16" s="129" t="s">
        <v>1098</v>
      </c>
      <c r="C16" s="449"/>
      <c r="D16" s="19" t="s">
        <v>14</v>
      </c>
      <c r="E16" s="19"/>
      <c r="F16" s="18"/>
      <c r="G16" s="17"/>
      <c r="H16" s="16" t="s">
        <v>13</v>
      </c>
      <c r="K16" s="111" t="s">
        <v>1583</v>
      </c>
      <c r="L16" s="111"/>
      <c r="M16" s="111"/>
      <c r="N16" s="111">
        <v>500</v>
      </c>
    </row>
    <row r="17" spans="1:14">
      <c r="A17" s="111"/>
      <c r="B17" s="111"/>
      <c r="C17" s="111"/>
      <c r="D17" s="111"/>
      <c r="E17" s="111"/>
      <c r="F17" s="111"/>
      <c r="G17" s="111"/>
      <c r="H17" s="111"/>
      <c r="K17" s="111" t="s">
        <v>4518</v>
      </c>
      <c r="L17" s="111"/>
      <c r="M17" s="111"/>
      <c r="N17" s="111">
        <v>150</v>
      </c>
    </row>
    <row r="18" spans="1:14">
      <c r="A18" s="116"/>
      <c r="B18" s="241"/>
      <c r="C18" s="241"/>
      <c r="D18" s="2" t="s">
        <v>5192</v>
      </c>
      <c r="E18" s="2"/>
      <c r="F18" s="111"/>
      <c r="G18" s="111"/>
      <c r="H18" s="111"/>
      <c r="I18" s="242"/>
      <c r="K18" s="111" t="s">
        <v>4928</v>
      </c>
      <c r="L18" s="111"/>
      <c r="M18" s="111"/>
      <c r="N18" s="111">
        <v>100</v>
      </c>
    </row>
    <row r="19" spans="1:14">
      <c r="A19" s="116"/>
      <c r="B19" s="241"/>
      <c r="C19" s="241"/>
      <c r="D19" s="2" t="s">
        <v>5837</v>
      </c>
      <c r="E19" s="2"/>
      <c r="F19" s="111"/>
      <c r="G19" s="111"/>
      <c r="H19" s="111"/>
      <c r="I19" s="111"/>
      <c r="K19" s="111"/>
      <c r="L19" s="111"/>
      <c r="M19" s="111"/>
      <c r="N19" s="111"/>
    </row>
    <row r="20" spans="1:14">
      <c r="A20" s="111"/>
      <c r="B20" s="314"/>
      <c r="C20" s="314"/>
      <c r="D20" s="2"/>
      <c r="E20" s="2"/>
      <c r="F20" s="111"/>
      <c r="G20" s="111"/>
      <c r="H20" s="111"/>
      <c r="I20" s="111"/>
    </row>
    <row r="21" spans="1:14">
      <c r="A21" s="111"/>
      <c r="B21" s="314"/>
      <c r="C21" s="314"/>
      <c r="D21" s="111" t="s">
        <v>4667</v>
      </c>
      <c r="E21" s="111"/>
      <c r="F21" s="111"/>
      <c r="G21" s="111"/>
      <c r="H21" s="111">
        <f>1265+189.75</f>
        <v>1454.75</v>
      </c>
      <c r="I21" s="111"/>
    </row>
    <row r="22" spans="1:14">
      <c r="A22" s="111" t="s">
        <v>2834</v>
      </c>
      <c r="D22" s="111" t="s">
        <v>1583</v>
      </c>
      <c r="E22" s="111"/>
      <c r="G22" s="111"/>
      <c r="H22" s="111">
        <f>26+29</f>
        <v>55</v>
      </c>
      <c r="I22" s="111"/>
    </row>
    <row r="23" spans="1:14">
      <c r="A23" s="120" t="s">
        <v>5838</v>
      </c>
      <c r="B23" s="313"/>
      <c r="C23" s="313"/>
      <c r="D23" s="111" t="s">
        <v>5839</v>
      </c>
      <c r="E23" s="111"/>
      <c r="F23" s="111"/>
      <c r="G23" s="111"/>
      <c r="H23" s="111">
        <v>80.67</v>
      </c>
      <c r="I23" s="111"/>
    </row>
    <row r="24" spans="1:14">
      <c r="A24" s="111"/>
      <c r="B24" s="111"/>
      <c r="C24" s="111"/>
      <c r="D24" s="111" t="s">
        <v>5840</v>
      </c>
      <c r="E24" s="111"/>
      <c r="F24" s="111"/>
      <c r="G24" s="111"/>
      <c r="H24" s="111">
        <v>20.23</v>
      </c>
      <c r="I24" s="111"/>
    </row>
    <row r="25" spans="1:14">
      <c r="A25" s="111"/>
      <c r="B25" s="241"/>
      <c r="C25" s="241"/>
      <c r="D25" s="111"/>
      <c r="E25" s="111"/>
      <c r="F25" s="111"/>
      <c r="G25" s="111"/>
      <c r="H25" s="111"/>
    </row>
    <row r="26" spans="1:14">
      <c r="A26" s="120"/>
      <c r="B26" s="241"/>
      <c r="C26" s="241"/>
      <c r="D26" s="111"/>
      <c r="E26" s="111"/>
      <c r="F26" s="111"/>
      <c r="G26" s="111"/>
      <c r="H26" s="111"/>
    </row>
    <row r="27" spans="1:14">
      <c r="A27" s="120"/>
      <c r="B27" s="314"/>
      <c r="C27" s="314"/>
      <c r="D27" s="111"/>
      <c r="E27" s="111"/>
      <c r="F27" s="111"/>
      <c r="G27" s="111"/>
      <c r="H27" s="111"/>
    </row>
    <row r="28" spans="1:14">
      <c r="D28" s="111"/>
      <c r="E28" s="111"/>
      <c r="G28" s="111"/>
      <c r="H28" s="111"/>
    </row>
    <row r="29" spans="1:14">
      <c r="A29" s="123"/>
      <c r="B29" s="111"/>
      <c r="C29" s="111"/>
      <c r="D29" s="2"/>
      <c r="E29" s="2"/>
      <c r="F29" s="111"/>
      <c r="G29" s="111"/>
      <c r="H29" s="111"/>
    </row>
    <row r="30" spans="1:14">
      <c r="A30" s="123"/>
      <c r="B30" s="111"/>
      <c r="C30" s="111"/>
      <c r="D30" s="111"/>
      <c r="E30" s="111"/>
      <c r="F30" s="111"/>
      <c r="G30" s="111"/>
      <c r="H30" s="111"/>
    </row>
    <row r="31" spans="1:14">
      <c r="A31" s="111"/>
      <c r="B31" s="111"/>
      <c r="C31" s="111"/>
      <c r="D31" s="111"/>
      <c r="E31" s="111"/>
      <c r="F31" s="111"/>
      <c r="G31" s="111"/>
      <c r="H31" s="111"/>
    </row>
    <row r="32" spans="1:14">
      <c r="A32" s="120"/>
      <c r="B32" s="111"/>
      <c r="C32" s="111"/>
      <c r="D32" s="111"/>
      <c r="E32" s="111"/>
      <c r="F32" s="111"/>
      <c r="G32" s="111"/>
      <c r="H32" s="111"/>
    </row>
    <row r="33" spans="1:8">
      <c r="A33" s="123"/>
      <c r="B33" s="111"/>
      <c r="C33" s="111"/>
      <c r="D33" s="111"/>
      <c r="E33" s="111"/>
      <c r="F33" s="111"/>
      <c r="G33" s="111"/>
      <c r="H33" s="111"/>
    </row>
    <row r="34" spans="1:8">
      <c r="A34" s="111"/>
      <c r="B34" s="111"/>
      <c r="C34" s="111"/>
      <c r="D34" s="111"/>
      <c r="E34" s="111"/>
      <c r="F34" s="111"/>
      <c r="G34" s="111"/>
      <c r="H34" s="111"/>
    </row>
    <row r="35" spans="1:8">
      <c r="A35" s="111"/>
      <c r="B35" s="111"/>
      <c r="C35" s="111"/>
      <c r="D35" s="111"/>
      <c r="E35" s="111"/>
      <c r="F35" s="111"/>
      <c r="G35" s="111"/>
      <c r="H35" s="111"/>
    </row>
    <row r="36" spans="1:8">
      <c r="A36" s="123"/>
      <c r="B36" s="111"/>
      <c r="C36" s="111"/>
      <c r="D36" s="111"/>
      <c r="E36" s="111"/>
      <c r="F36" s="111"/>
      <c r="G36" s="111"/>
      <c r="H36" s="111"/>
    </row>
    <row r="37" spans="1:8" ht="13.5" thickBot="1">
      <c r="A37" s="111"/>
      <c r="B37" s="111"/>
      <c r="C37" s="111"/>
      <c r="D37" s="111"/>
      <c r="E37" s="111"/>
      <c r="F37" s="111"/>
      <c r="G37" s="111"/>
      <c r="H37" s="117">
        <f>SUM(H20:H36)</f>
        <v>1610.65</v>
      </c>
    </row>
    <row r="38" spans="1:8" ht="13.5" thickTop="1">
      <c r="A38" s="111"/>
      <c r="B38" s="111"/>
      <c r="C38" s="111"/>
      <c r="D38" s="111"/>
      <c r="E38" s="111"/>
      <c r="F38" s="111"/>
      <c r="G38" s="111"/>
      <c r="H38" s="111"/>
    </row>
    <row r="39" spans="1:8" ht="20.100000000000001" customHeight="1">
      <c r="A39" s="118" t="s">
        <v>1133</v>
      </c>
      <c r="B39" s="202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One Thousand Six Hundred Ten and 65/100 -----------</v>
      </c>
      <c r="C39" s="202"/>
      <c r="D39" s="119"/>
      <c r="E39" s="119"/>
      <c r="F39" s="119"/>
      <c r="G39" s="119"/>
      <c r="H39" s="119"/>
    </row>
    <row r="40" spans="1:8">
      <c r="A40" s="120" t="s">
        <v>11</v>
      </c>
      <c r="B40" s="111"/>
      <c r="C40" s="111"/>
      <c r="D40" s="111"/>
      <c r="E40" s="111"/>
      <c r="F40" s="111"/>
      <c r="G40" s="111"/>
      <c r="H40" s="111"/>
    </row>
    <row r="41" spans="1:8" ht="25.5">
      <c r="A41" s="126" t="s">
        <v>10</v>
      </c>
      <c r="B41" s="111"/>
      <c r="C41" s="111"/>
      <c r="D41" s="111"/>
      <c r="E41" s="111"/>
      <c r="F41" s="265" t="s">
        <v>2894</v>
      </c>
      <c r="G41" s="266"/>
      <c r="H41" s="267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11"/>
      <c r="B43" s="111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21"/>
      <c r="E44" s="121"/>
      <c r="F44" s="111"/>
      <c r="G44" s="111"/>
      <c r="H44" s="111"/>
    </row>
    <row r="45" spans="1:8">
      <c r="A45" s="122"/>
      <c r="B45" s="122"/>
      <c r="C45" s="433"/>
      <c r="D45" s="111"/>
      <c r="E45" s="111"/>
      <c r="F45" s="111"/>
      <c r="G45" s="111"/>
      <c r="H45" s="111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23" t="s">
        <v>8</v>
      </c>
      <c r="B47" s="111"/>
      <c r="C47" s="111"/>
      <c r="D47" s="123" t="s">
        <v>8</v>
      </c>
      <c r="E47" s="111"/>
      <c r="F47" s="123" t="s">
        <v>7</v>
      </c>
      <c r="G47" s="111"/>
      <c r="H47" s="124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11"/>
      <c r="B50" s="111"/>
      <c r="C50" s="111"/>
      <c r="D50" s="111"/>
      <c r="E50" s="111"/>
      <c r="F50" s="111"/>
      <c r="G50" s="111"/>
      <c r="H50" s="111"/>
    </row>
    <row r="51" spans="1:8">
      <c r="A51" s="122"/>
      <c r="B51" s="122"/>
      <c r="C51" s="433"/>
      <c r="D51" s="122"/>
      <c r="E51" s="111"/>
      <c r="F51" s="122"/>
      <c r="G51" s="122"/>
      <c r="H51" s="122"/>
    </row>
    <row r="52" spans="1:8" s="3" customFormat="1" ht="17.100000000000001" customHeight="1">
      <c r="A52" s="151" t="s">
        <v>2948</v>
      </c>
      <c r="B52" s="125"/>
      <c r="C52" s="125"/>
      <c r="D52" s="151" t="s">
        <v>103</v>
      </c>
      <c r="E52" s="126"/>
      <c r="F52" s="126" t="s">
        <v>3</v>
      </c>
      <c r="G52" s="126"/>
      <c r="H52" s="126"/>
    </row>
    <row r="53" spans="1:8">
      <c r="A53" s="111"/>
      <c r="B53" s="111"/>
      <c r="C53" s="111"/>
      <c r="D53" s="111"/>
      <c r="E53" s="111"/>
      <c r="F53" s="111" t="s">
        <v>2</v>
      </c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  <row r="55" spans="1:8">
      <c r="A55" s="111"/>
      <c r="B55" s="111"/>
      <c r="C55" s="111"/>
      <c r="D55" s="111"/>
      <c r="E55" s="111"/>
      <c r="F55" s="2" t="s">
        <v>1</v>
      </c>
      <c r="G55" s="111"/>
      <c r="H55" s="111"/>
    </row>
    <row r="56" spans="1:8">
      <c r="A56" s="111"/>
      <c r="B56" s="111"/>
      <c r="C56" s="111"/>
      <c r="D56" s="111"/>
      <c r="E56" s="111"/>
      <c r="F56" s="2" t="s">
        <v>0</v>
      </c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4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1-000000000000}">
  <sheetPr codeName="Sheet376"/>
  <dimension ref="A1:T155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28515625" style="111" customWidth="1"/>
    <col min="4" max="4" width="22.42578125" style="111" customWidth="1"/>
    <col min="5" max="5" width="1.7109375" style="111" customWidth="1"/>
    <col min="6" max="6" width="13.140625" style="111" customWidth="1"/>
    <col min="7" max="7" width="10.5703125" style="111" customWidth="1"/>
    <col min="8" max="8" width="13.140625" style="111" customWidth="1"/>
    <col min="9" max="10" width="9.140625" style="111"/>
    <col min="11" max="11" width="9.7109375" style="111" bestFit="1" customWidth="1"/>
    <col min="12" max="17" width="9.140625" style="111"/>
    <col min="18" max="18" width="10.7109375" style="111" bestFit="1" customWidth="1"/>
    <col min="19" max="16384" width="9.140625" style="111"/>
  </cols>
  <sheetData>
    <row r="1" spans="1:20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20">
      <c r="A2" s="530" t="s">
        <v>25</v>
      </c>
      <c r="B2" s="530"/>
      <c r="C2" s="530"/>
      <c r="D2" s="530"/>
      <c r="E2" s="530"/>
      <c r="F2" s="530"/>
      <c r="G2" s="530"/>
      <c r="H2" s="530"/>
      <c r="K2" s="485"/>
      <c r="L2" s="485"/>
      <c r="M2" s="483"/>
      <c r="N2" s="482" t="s">
        <v>6305</v>
      </c>
      <c r="O2" s="483"/>
      <c r="P2" s="483"/>
      <c r="Q2" s="483"/>
      <c r="R2" s="483"/>
    </row>
    <row r="3" spans="1:20">
      <c r="A3" s="530" t="s">
        <v>1480</v>
      </c>
      <c r="B3" s="530"/>
      <c r="C3" s="530"/>
      <c r="D3" s="530"/>
      <c r="E3" s="530"/>
      <c r="F3" s="530"/>
      <c r="G3" s="530"/>
      <c r="H3" s="530"/>
      <c r="K3" s="483"/>
      <c r="L3" s="483"/>
      <c r="M3" s="483"/>
      <c r="N3" s="483"/>
      <c r="O3" s="483"/>
      <c r="P3" s="483"/>
      <c r="Q3" s="483"/>
      <c r="R3" s="483"/>
    </row>
    <row r="4" spans="1:20">
      <c r="A4" s="530" t="s">
        <v>1481</v>
      </c>
      <c r="B4" s="530"/>
      <c r="C4" s="530"/>
      <c r="D4" s="530"/>
      <c r="E4" s="530"/>
      <c r="F4" s="530"/>
      <c r="G4" s="530"/>
      <c r="H4" s="530"/>
      <c r="K4" s="485" t="s">
        <v>6412</v>
      </c>
      <c r="L4" s="485" t="s">
        <v>6417</v>
      </c>
      <c r="M4" s="121"/>
      <c r="N4" s="483" t="s">
        <v>6418</v>
      </c>
      <c r="O4" s="483"/>
      <c r="P4" s="483"/>
      <c r="Q4" s="483"/>
      <c r="R4" s="483">
        <v>7380</v>
      </c>
    </row>
    <row r="5" spans="1:20">
      <c r="K5" s="485"/>
      <c r="L5" s="485"/>
      <c r="M5" s="121"/>
      <c r="N5" s="483" t="s">
        <v>5000</v>
      </c>
      <c r="O5" s="483"/>
      <c r="P5" s="483"/>
      <c r="Q5" s="483"/>
      <c r="R5" s="483"/>
    </row>
    <row r="6" spans="1:20">
      <c r="K6" s="485"/>
      <c r="L6" s="121"/>
      <c r="M6" s="121"/>
      <c r="N6" s="483" t="s">
        <v>5731</v>
      </c>
      <c r="O6" s="483"/>
      <c r="P6" s="483"/>
      <c r="Q6" s="483"/>
      <c r="R6" s="483"/>
    </row>
    <row r="7" spans="1:20">
      <c r="K7" s="485"/>
      <c r="L7" s="121"/>
      <c r="M7" s="121"/>
      <c r="N7" s="483" t="s">
        <v>6081</v>
      </c>
      <c r="O7" s="483"/>
      <c r="P7" s="483"/>
      <c r="Q7" s="483"/>
      <c r="R7" s="483"/>
    </row>
    <row r="8" spans="1:20">
      <c r="A8" s="111" t="s">
        <v>24</v>
      </c>
      <c r="F8" s="22" t="s">
        <v>23</v>
      </c>
      <c r="K8" s="485"/>
      <c r="L8" s="121"/>
      <c r="M8" s="121"/>
      <c r="N8" s="483" t="s">
        <v>5966</v>
      </c>
      <c r="O8" s="483"/>
      <c r="P8" s="483"/>
      <c r="Q8" s="483"/>
      <c r="R8" s="483"/>
    </row>
    <row r="9" spans="1:20">
      <c r="F9" s="112" t="s">
        <v>1134</v>
      </c>
      <c r="G9" s="489" t="s">
        <v>7072</v>
      </c>
      <c r="K9" s="485"/>
      <c r="L9" s="121"/>
      <c r="M9" s="121"/>
      <c r="N9" s="483" t="s">
        <v>5734</v>
      </c>
      <c r="O9" s="483"/>
      <c r="P9" s="483"/>
      <c r="Q9" s="483"/>
      <c r="R9" s="483"/>
    </row>
    <row r="10" spans="1:20">
      <c r="A10" s="111" t="s">
        <v>3272</v>
      </c>
      <c r="F10" s="112" t="s">
        <v>1180</v>
      </c>
      <c r="G10" s="489" t="s">
        <v>7063</v>
      </c>
      <c r="K10" s="485"/>
      <c r="L10" s="121"/>
      <c r="M10" s="121"/>
      <c r="N10" s="483"/>
      <c r="O10" s="483"/>
      <c r="P10" s="483"/>
      <c r="Q10" s="483"/>
      <c r="R10" s="483"/>
    </row>
    <row r="11" spans="1:20">
      <c r="A11" s="111" t="s">
        <v>3273</v>
      </c>
      <c r="F11" s="112" t="s">
        <v>1181</v>
      </c>
      <c r="G11" s="489" t="s">
        <v>1094</v>
      </c>
      <c r="K11" s="485"/>
      <c r="L11" s="121"/>
      <c r="M11" s="121"/>
      <c r="N11" s="483" t="s">
        <v>5175</v>
      </c>
      <c r="O11" s="483"/>
      <c r="P11" s="483"/>
      <c r="Q11" s="483"/>
      <c r="R11" s="483">
        <f>R4*6%</f>
        <v>442.8</v>
      </c>
    </row>
    <row r="12" spans="1:20">
      <c r="A12" s="111" t="s">
        <v>3274</v>
      </c>
      <c r="F12" s="112" t="s">
        <v>1182</v>
      </c>
      <c r="G12" s="483" t="s">
        <v>7073</v>
      </c>
      <c r="K12" s="485"/>
      <c r="L12" s="121"/>
      <c r="M12" s="121"/>
      <c r="N12" s="483"/>
      <c r="O12" s="483"/>
      <c r="P12" s="483"/>
      <c r="Q12" s="483"/>
      <c r="R12" s="483"/>
    </row>
    <row r="13" spans="1:20">
      <c r="A13" s="111" t="s">
        <v>1365</v>
      </c>
      <c r="G13" s="483" t="s">
        <v>7064</v>
      </c>
      <c r="K13" s="485"/>
      <c r="L13" s="121"/>
      <c r="M13" s="121"/>
      <c r="N13" s="483"/>
      <c r="O13" s="483"/>
      <c r="P13" s="483"/>
      <c r="Q13" s="483"/>
      <c r="R13" s="483"/>
    </row>
    <row r="14" spans="1:20">
      <c r="A14" s="111" t="s">
        <v>3275</v>
      </c>
    </row>
    <row r="15" spans="1:20">
      <c r="M15" s="121"/>
      <c r="N15" s="2" t="s">
        <v>4503</v>
      </c>
    </row>
    <row r="16" spans="1:20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K16" s="116"/>
      <c r="L16" s="121"/>
      <c r="M16" s="121"/>
      <c r="N16" s="111"/>
      <c r="O16" s="111"/>
      <c r="P16" s="111"/>
      <c r="Q16" s="111"/>
      <c r="R16" s="111"/>
      <c r="S16" s="111"/>
      <c r="T16" s="111"/>
    </row>
    <row r="17" spans="1:18">
      <c r="K17" s="116" t="s">
        <v>4501</v>
      </c>
      <c r="L17" s="121" t="s">
        <v>4502</v>
      </c>
      <c r="M17" s="121"/>
      <c r="N17" s="111" t="s">
        <v>4506</v>
      </c>
      <c r="R17" s="111">
        <f>280000*70%</f>
        <v>196000</v>
      </c>
    </row>
    <row r="18" spans="1:18">
      <c r="A18" s="116"/>
      <c r="B18" s="116"/>
      <c r="D18" s="482" t="s">
        <v>3572</v>
      </c>
      <c r="K18" s="116"/>
      <c r="L18" s="121"/>
      <c r="M18" s="121"/>
    </row>
    <row r="19" spans="1:18">
      <c r="K19" s="116"/>
      <c r="L19" s="121"/>
      <c r="M19" s="121"/>
    </row>
    <row r="20" spans="1:18">
      <c r="A20" s="485" t="s">
        <v>7074</v>
      </c>
      <c r="B20" s="485" t="s">
        <v>7075</v>
      </c>
      <c r="C20" s="121"/>
      <c r="D20" s="483" t="s">
        <v>7076</v>
      </c>
      <c r="H20" s="111">
        <v>300</v>
      </c>
      <c r="K20" s="116"/>
      <c r="L20" s="121"/>
      <c r="M20" s="121"/>
    </row>
    <row r="21" spans="1:18">
      <c r="A21" s="116"/>
      <c r="B21" s="116"/>
      <c r="C21" s="121"/>
      <c r="D21" s="483" t="s">
        <v>7077</v>
      </c>
      <c r="H21" s="111">
        <v>350</v>
      </c>
      <c r="K21" s="116"/>
      <c r="L21" s="121"/>
      <c r="M21" s="121"/>
      <c r="N21" s="111" t="s">
        <v>1814</v>
      </c>
      <c r="R21" s="111">
        <f>R17*6%</f>
        <v>11760</v>
      </c>
    </row>
    <row r="22" spans="1:18">
      <c r="A22" s="116"/>
      <c r="B22" s="121"/>
      <c r="C22" s="121"/>
      <c r="D22" s="483"/>
      <c r="K22" s="116"/>
      <c r="L22" s="121"/>
      <c r="M22" s="121"/>
    </row>
    <row r="23" spans="1:18">
      <c r="A23" s="116"/>
      <c r="B23" s="121"/>
      <c r="C23" s="121"/>
      <c r="D23" s="483"/>
      <c r="N23" s="167" t="s">
        <v>4504</v>
      </c>
    </row>
    <row r="24" spans="1:18">
      <c r="A24" s="116"/>
      <c r="B24" s="121"/>
      <c r="C24" s="121"/>
      <c r="D24" s="483"/>
    </row>
    <row r="25" spans="1:18">
      <c r="A25" s="116"/>
      <c r="B25" s="121"/>
      <c r="C25" s="121"/>
      <c r="D25" s="483"/>
      <c r="M25" s="121"/>
      <c r="N25" s="2" t="s">
        <v>4503</v>
      </c>
    </row>
    <row r="26" spans="1:18">
      <c r="A26" s="116"/>
      <c r="B26" s="121"/>
      <c r="C26" s="121"/>
      <c r="D26" s="483"/>
      <c r="M26" s="121"/>
      <c r="N26" s="2"/>
    </row>
    <row r="27" spans="1:18">
      <c r="A27" s="116"/>
      <c r="B27" s="121"/>
      <c r="C27" s="121"/>
      <c r="K27" s="116"/>
      <c r="L27" s="121"/>
      <c r="M27" s="121"/>
    </row>
    <row r="28" spans="1:18">
      <c r="A28" s="116"/>
      <c r="B28" s="121"/>
      <c r="C28" s="121"/>
      <c r="K28" s="116" t="s">
        <v>4565</v>
      </c>
      <c r="L28" s="121" t="s">
        <v>4566</v>
      </c>
      <c r="M28" s="121"/>
      <c r="N28" s="111" t="s">
        <v>4567</v>
      </c>
      <c r="R28" s="111">
        <f>280000*30%</f>
        <v>84000</v>
      </c>
    </row>
    <row r="29" spans="1:18">
      <c r="A29" s="116"/>
      <c r="B29" s="121"/>
      <c r="C29" s="121"/>
      <c r="K29" s="116"/>
      <c r="L29" s="121"/>
      <c r="M29" s="121"/>
    </row>
    <row r="30" spans="1:18">
      <c r="A30" s="116"/>
      <c r="B30" s="121"/>
      <c r="C30" s="121"/>
      <c r="K30" s="116"/>
      <c r="L30" s="121"/>
      <c r="M30" s="121"/>
    </row>
    <row r="31" spans="1:18">
      <c r="K31" s="116"/>
      <c r="L31" s="121"/>
      <c r="M31" s="121"/>
    </row>
    <row r="32" spans="1:18">
      <c r="A32" s="116"/>
      <c r="B32" s="121"/>
      <c r="C32" s="121"/>
      <c r="K32" s="116"/>
      <c r="L32" s="121"/>
      <c r="M32" s="121"/>
      <c r="N32" s="111" t="s">
        <v>1814</v>
      </c>
      <c r="R32" s="111">
        <f>R28*6%</f>
        <v>5040</v>
      </c>
    </row>
    <row r="33" spans="1:18">
      <c r="A33" s="116"/>
      <c r="B33" s="121"/>
      <c r="C33" s="121"/>
      <c r="N33" s="167" t="s">
        <v>4504</v>
      </c>
    </row>
    <row r="34" spans="1:18" ht="13.5" thickBot="1">
      <c r="H34" s="127">
        <f>SUM(H19:H33)</f>
        <v>650</v>
      </c>
      <c r="K34" s="116" t="s">
        <v>4516</v>
      </c>
      <c r="L34" s="121" t="s">
        <v>4568</v>
      </c>
      <c r="M34" s="121"/>
      <c r="N34" s="111" t="s">
        <v>4569</v>
      </c>
      <c r="R34" s="111">
        <v>42000</v>
      </c>
    </row>
    <row r="35" spans="1:18" ht="14.25" customHeight="1" thickTop="1">
      <c r="K35" s="116"/>
      <c r="L35" s="121"/>
      <c r="M35" s="121"/>
      <c r="N35" s="111" t="s">
        <v>4570</v>
      </c>
    </row>
    <row r="36" spans="1:18" ht="21.75" customHeight="1">
      <c r="A36" s="118" t="s">
        <v>204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Six Hundred Fifty and NO/100 -----------</v>
      </c>
      <c r="C36" s="202"/>
      <c r="D36" s="119"/>
      <c r="E36" s="119"/>
      <c r="F36" s="119"/>
      <c r="G36" s="119"/>
      <c r="H36" s="119"/>
      <c r="N36" s="111" t="s">
        <v>1814</v>
      </c>
      <c r="R36" s="111">
        <f>R34*6%</f>
        <v>2520</v>
      </c>
    </row>
    <row r="37" spans="1:18" ht="19.5" customHeight="1">
      <c r="A37" s="120" t="s">
        <v>11</v>
      </c>
      <c r="K37" s="116"/>
      <c r="L37" s="121"/>
      <c r="M37" s="121"/>
      <c r="N37" s="120"/>
    </row>
    <row r="38" spans="1:18" ht="24" customHeight="1">
      <c r="A38" s="126" t="s">
        <v>10</v>
      </c>
      <c r="D38" s="441"/>
      <c r="F38" s="265" t="s">
        <v>2894</v>
      </c>
      <c r="G38" s="266"/>
      <c r="H38" s="267"/>
      <c r="K38" s="116"/>
      <c r="L38" s="121"/>
      <c r="M38" s="121"/>
      <c r="N38" s="111" t="s">
        <v>1814</v>
      </c>
      <c r="R38" s="111" t="e">
        <f>#REF!*6%</f>
        <v>#REF!</v>
      </c>
    </row>
    <row r="39" spans="1:18" ht="21" customHeight="1">
      <c r="D39" s="433"/>
      <c r="K39" s="116" t="s">
        <v>4916</v>
      </c>
      <c r="L39" s="116" t="s">
        <v>4917</v>
      </c>
      <c r="M39" s="121"/>
      <c r="N39" s="111" t="s">
        <v>4918</v>
      </c>
      <c r="R39" s="111">
        <v>188679.25</v>
      </c>
    </row>
    <row r="40" spans="1:18">
      <c r="D40" s="433"/>
      <c r="K40" s="116"/>
      <c r="L40" s="121"/>
      <c r="M40" s="121"/>
      <c r="N40" s="120"/>
    </row>
    <row r="41" spans="1:18" ht="20.100000000000001" customHeight="1">
      <c r="A41" s="111" t="s">
        <v>52</v>
      </c>
      <c r="D41" s="433"/>
      <c r="E41" s="121"/>
      <c r="K41" s="116"/>
      <c r="L41" s="121"/>
      <c r="M41" s="121"/>
      <c r="N41" s="111" t="s">
        <v>1814</v>
      </c>
      <c r="R41" s="111">
        <v>11320.75</v>
      </c>
    </row>
    <row r="42" spans="1:18">
      <c r="A42" s="122"/>
      <c r="B42" s="122"/>
      <c r="D42" s="433"/>
    </row>
    <row r="43" spans="1:18">
      <c r="D43" s="442"/>
      <c r="M43" s="121"/>
      <c r="N43" s="2" t="s">
        <v>4261</v>
      </c>
    </row>
    <row r="44" spans="1:18">
      <c r="D44" s="442"/>
      <c r="K44" s="116"/>
      <c r="L44" s="116"/>
      <c r="M44" s="121"/>
    </row>
    <row r="45" spans="1:18">
      <c r="A45" s="123" t="s">
        <v>8</v>
      </c>
      <c r="D45" s="123" t="s">
        <v>8</v>
      </c>
      <c r="F45" s="123" t="s">
        <v>7</v>
      </c>
      <c r="H45" s="124"/>
      <c r="K45" s="116" t="s">
        <v>4986</v>
      </c>
      <c r="L45" s="121" t="s">
        <v>4987</v>
      </c>
      <c r="M45" s="121"/>
      <c r="N45" s="120" t="s">
        <v>4988</v>
      </c>
      <c r="R45" s="111">
        <v>300000</v>
      </c>
    </row>
    <row r="46" spans="1:18">
      <c r="K46" s="116"/>
      <c r="L46" s="121"/>
      <c r="M46" s="121"/>
    </row>
    <row r="47" spans="1:18">
      <c r="K47" s="116" t="s">
        <v>4986</v>
      </c>
      <c r="L47" s="121" t="s">
        <v>4989</v>
      </c>
      <c r="N47" s="111" t="s">
        <v>4990</v>
      </c>
      <c r="R47" s="111">
        <v>58382.61</v>
      </c>
    </row>
    <row r="49" spans="1:18">
      <c r="A49" s="122" t="s">
        <v>51</v>
      </c>
      <c r="B49" s="122"/>
      <c r="D49" s="122" t="s">
        <v>51</v>
      </c>
      <c r="F49" s="122"/>
      <c r="G49" s="122"/>
      <c r="H49" s="122"/>
      <c r="N49" s="111" t="s">
        <v>4991</v>
      </c>
      <c r="R49" s="149">
        <f>5600+9960.49</f>
        <v>15560.49</v>
      </c>
    </row>
    <row r="50" spans="1:18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  <c r="K50" s="116"/>
      <c r="L50" s="116"/>
      <c r="M50" s="121"/>
    </row>
    <row r="51" spans="1:18">
      <c r="D51" s="433"/>
      <c r="F51" s="111" t="s">
        <v>2</v>
      </c>
      <c r="K51" s="116"/>
      <c r="L51" s="121"/>
      <c r="M51" s="121"/>
    </row>
    <row r="52" spans="1:18">
      <c r="D52" s="433"/>
      <c r="K52" s="116"/>
      <c r="L52" s="116"/>
      <c r="M52" s="121"/>
    </row>
    <row r="53" spans="1:18">
      <c r="D53" s="433"/>
      <c r="F53" s="2" t="s">
        <v>1</v>
      </c>
      <c r="K53" s="116"/>
      <c r="L53" s="121"/>
      <c r="M53" s="121"/>
      <c r="N53" s="120" t="s">
        <v>5042</v>
      </c>
    </row>
    <row r="54" spans="1:18">
      <c r="D54" s="433"/>
      <c r="F54" s="2" t="s">
        <v>0</v>
      </c>
      <c r="K54" s="116"/>
      <c r="L54" s="121"/>
      <c r="M54" s="121"/>
      <c r="N54" s="111" t="s">
        <v>5043</v>
      </c>
    </row>
    <row r="55" spans="1:18" s="126" customFormat="1" ht="17.100000000000001" customHeight="1">
      <c r="A55" s="111"/>
      <c r="B55" s="111"/>
      <c r="C55" s="111"/>
      <c r="D55" s="433"/>
      <c r="E55" s="111"/>
      <c r="F55" s="111"/>
      <c r="G55" s="111"/>
      <c r="H55" s="111"/>
      <c r="K55" s="116"/>
      <c r="L55" s="121"/>
      <c r="M55" s="121"/>
      <c r="N55" s="111" t="s">
        <v>5044</v>
      </c>
      <c r="O55" s="111"/>
      <c r="P55" s="111"/>
      <c r="Q55" s="111"/>
      <c r="R55" s="149">
        <v>100000</v>
      </c>
    </row>
    <row r="56" spans="1:18">
      <c r="K56" s="116"/>
      <c r="L56" s="121"/>
      <c r="M56" s="121"/>
      <c r="N56" s="111" t="s">
        <v>5045</v>
      </c>
      <c r="R56" s="111">
        <v>60000</v>
      </c>
    </row>
    <row r="57" spans="1:18">
      <c r="N57" s="111" t="s">
        <v>5046</v>
      </c>
      <c r="R57" s="111">
        <v>80000</v>
      </c>
    </row>
    <row r="58" spans="1:18">
      <c r="N58" s="111" t="s">
        <v>5047</v>
      </c>
      <c r="R58" s="111">
        <v>50000</v>
      </c>
    </row>
    <row r="59" spans="1:18">
      <c r="N59" s="111" t="s">
        <v>5048</v>
      </c>
      <c r="R59" s="111">
        <v>240000</v>
      </c>
    </row>
    <row r="60" spans="1:18">
      <c r="N60" s="111" t="s">
        <v>5049</v>
      </c>
      <c r="R60" s="111">
        <v>20000</v>
      </c>
    </row>
    <row r="64" spans="1:18">
      <c r="M64" s="121"/>
      <c r="N64" s="2" t="s">
        <v>5050</v>
      </c>
    </row>
    <row r="65" spans="11:18">
      <c r="K65" s="116"/>
      <c r="L65" s="116"/>
      <c r="M65" s="121"/>
    </row>
    <row r="66" spans="11:18">
      <c r="K66" s="116" t="s">
        <v>5040</v>
      </c>
      <c r="L66" s="121" t="s">
        <v>5041</v>
      </c>
      <c r="N66" s="120" t="s">
        <v>5042</v>
      </c>
    </row>
    <row r="67" spans="11:18">
      <c r="N67" s="111" t="s">
        <v>5043</v>
      </c>
    </row>
    <row r="68" spans="11:18">
      <c r="N68" s="111" t="s">
        <v>5044</v>
      </c>
      <c r="R68" s="149">
        <v>100000</v>
      </c>
    </row>
    <row r="69" spans="11:18">
      <c r="K69" s="116"/>
      <c r="L69" s="116"/>
      <c r="M69" s="121"/>
      <c r="N69" s="111" t="s">
        <v>5045</v>
      </c>
      <c r="R69" s="111">
        <v>60000</v>
      </c>
    </row>
    <row r="70" spans="11:18">
      <c r="N70" s="111" t="s">
        <v>5046</v>
      </c>
      <c r="R70" s="111">
        <v>80000</v>
      </c>
    </row>
    <row r="71" spans="11:18">
      <c r="K71" s="116"/>
      <c r="L71" s="116"/>
      <c r="M71" s="121"/>
      <c r="N71" s="111" t="s">
        <v>5047</v>
      </c>
      <c r="R71" s="111">
        <v>50000</v>
      </c>
    </row>
    <row r="72" spans="11:18">
      <c r="K72" s="116"/>
      <c r="L72" s="121"/>
      <c r="M72" s="121"/>
      <c r="N72" s="111" t="s">
        <v>5048</v>
      </c>
      <c r="R72" s="111">
        <v>240000</v>
      </c>
    </row>
    <row r="73" spans="11:18">
      <c r="N73" s="111" t="s">
        <v>5049</v>
      </c>
      <c r="R73" s="111">
        <v>20000</v>
      </c>
    </row>
    <row r="74" spans="11:18">
      <c r="K74" s="116"/>
      <c r="L74" s="116"/>
    </row>
    <row r="77" spans="11:18">
      <c r="K77" s="116"/>
      <c r="L77" s="116"/>
      <c r="M77" s="121"/>
      <c r="N77" s="483" t="s">
        <v>6614</v>
      </c>
      <c r="O77" s="483"/>
      <c r="P77" s="483"/>
      <c r="Q77" s="483"/>
      <c r="R77" s="483">
        <v>1960</v>
      </c>
    </row>
    <row r="78" spans="11:18">
      <c r="N78" s="483" t="s">
        <v>6615</v>
      </c>
      <c r="O78" s="483"/>
      <c r="P78" s="483"/>
      <c r="Q78" s="483"/>
      <c r="R78" s="483"/>
    </row>
    <row r="79" spans="11:18">
      <c r="N79" s="483" t="s">
        <v>5000</v>
      </c>
      <c r="O79" s="483"/>
      <c r="P79" s="483"/>
      <c r="Q79" s="483"/>
      <c r="R79" s="483"/>
    </row>
    <row r="80" spans="11:18">
      <c r="N80" s="483" t="s">
        <v>5731</v>
      </c>
      <c r="O80" s="483"/>
      <c r="P80" s="483"/>
      <c r="Q80" s="483"/>
      <c r="R80" s="483"/>
    </row>
    <row r="81" spans="14:18">
      <c r="N81" s="483" t="s">
        <v>5966</v>
      </c>
      <c r="O81" s="483"/>
      <c r="P81" s="483"/>
      <c r="Q81" s="483"/>
      <c r="R81" s="483"/>
    </row>
    <row r="82" spans="14:18">
      <c r="N82" s="483" t="s">
        <v>3930</v>
      </c>
      <c r="O82" s="483"/>
      <c r="P82" s="483"/>
      <c r="Q82" s="483"/>
      <c r="R82" s="483"/>
    </row>
    <row r="83" spans="14:18">
      <c r="N83" s="483" t="s">
        <v>5734</v>
      </c>
      <c r="O83" s="483"/>
      <c r="P83" s="483"/>
      <c r="Q83" s="483"/>
      <c r="R83" s="483"/>
    </row>
    <row r="84" spans="14:18">
      <c r="N84" s="483"/>
      <c r="O84" s="483"/>
      <c r="P84" s="483"/>
      <c r="Q84" s="483"/>
      <c r="R84" s="483"/>
    </row>
    <row r="85" spans="14:18">
      <c r="N85" s="483" t="s">
        <v>5175</v>
      </c>
      <c r="O85" s="483"/>
      <c r="P85" s="483"/>
      <c r="Q85" s="483"/>
      <c r="R85" s="483">
        <v>117.6</v>
      </c>
    </row>
    <row r="86" spans="14:18">
      <c r="N86" s="120"/>
    </row>
    <row r="87" spans="14:18">
      <c r="N87" s="111" t="s">
        <v>5472</v>
      </c>
      <c r="R87" s="149">
        <v>100</v>
      </c>
    </row>
    <row r="88" spans="14:18">
      <c r="N88" s="111" t="s">
        <v>5116</v>
      </c>
      <c r="R88" s="111">
        <v>80</v>
      </c>
    </row>
    <row r="89" spans="14:18">
      <c r="N89" s="120" t="s">
        <v>5473</v>
      </c>
      <c r="R89" s="111">
        <v>40</v>
      </c>
    </row>
    <row r="91" spans="14:18">
      <c r="N91" s="111" t="s">
        <v>5474</v>
      </c>
      <c r="R91" s="111">
        <v>350</v>
      </c>
    </row>
    <row r="92" spans="14:18">
      <c r="N92" s="111" t="s">
        <v>5116</v>
      </c>
      <c r="R92" s="111">
        <v>58.75</v>
      </c>
    </row>
    <row r="93" spans="14:18">
      <c r="N93" s="120" t="s">
        <v>5473</v>
      </c>
      <c r="R93" s="111">
        <v>40</v>
      </c>
    </row>
    <row r="95" spans="14:18">
      <c r="N95" s="111" t="s">
        <v>5475</v>
      </c>
      <c r="R95" s="111">
        <v>100</v>
      </c>
    </row>
    <row r="96" spans="14:18">
      <c r="N96" s="111" t="s">
        <v>5116</v>
      </c>
      <c r="R96" s="111">
        <v>80</v>
      </c>
    </row>
    <row r="97" spans="13:20">
      <c r="N97" s="120" t="s">
        <v>5473</v>
      </c>
      <c r="R97" s="111">
        <v>40</v>
      </c>
    </row>
    <row r="98" spans="13:20">
      <c r="R98" s="149"/>
    </row>
    <row r="102" spans="13:20">
      <c r="M102" s="2" t="s">
        <v>4261</v>
      </c>
    </row>
    <row r="104" spans="13:20">
      <c r="M104" s="120" t="s">
        <v>5496</v>
      </c>
      <c r="Q104" s="111">
        <v>600000</v>
      </c>
    </row>
    <row r="105" spans="13:20">
      <c r="M105" s="111" t="s">
        <v>5497</v>
      </c>
    </row>
    <row r="106" spans="13:20">
      <c r="Q106" s="149"/>
    </row>
    <row r="107" spans="13:20">
      <c r="M107" s="111" t="s">
        <v>5498</v>
      </c>
      <c r="Q107" s="111">
        <v>200000</v>
      </c>
    </row>
    <row r="108" spans="13:20">
      <c r="M108" s="111" t="s">
        <v>5499</v>
      </c>
    </row>
    <row r="109" spans="13:20">
      <c r="P109" s="2" t="s">
        <v>5658</v>
      </c>
    </row>
    <row r="110" spans="13:20">
      <c r="M110" s="116"/>
      <c r="N110" s="121"/>
      <c r="O110" s="121"/>
    </row>
    <row r="111" spans="13:20">
      <c r="M111" s="116" t="s">
        <v>5659</v>
      </c>
      <c r="N111" s="116" t="s">
        <v>5660</v>
      </c>
      <c r="O111" s="121"/>
      <c r="P111" s="120" t="s">
        <v>5675</v>
      </c>
      <c r="T111" s="111">
        <v>100000</v>
      </c>
    </row>
    <row r="112" spans="13:20">
      <c r="M112" s="116"/>
      <c r="N112" s="121"/>
      <c r="O112" s="121"/>
      <c r="P112" s="111" t="s">
        <v>5674</v>
      </c>
      <c r="T112" s="149"/>
    </row>
    <row r="113" spans="13:18">
      <c r="M113" s="116"/>
      <c r="N113" s="121"/>
      <c r="O113" s="121"/>
    </row>
    <row r="114" spans="13:18">
      <c r="N114" s="120" t="s">
        <v>5555</v>
      </c>
      <c r="R114" s="111">
        <v>8200</v>
      </c>
    </row>
    <row r="115" spans="13:18">
      <c r="N115" s="111" t="s">
        <v>3928</v>
      </c>
    </row>
    <row r="116" spans="13:18">
      <c r="N116" s="111" t="s">
        <v>5000</v>
      </c>
      <c r="R116" s="149"/>
    </row>
    <row r="117" spans="13:18">
      <c r="N117" s="111" t="s">
        <v>5330</v>
      </c>
    </row>
    <row r="118" spans="13:18">
      <c r="N118" s="111" t="s">
        <v>5172</v>
      </c>
    </row>
    <row r="119" spans="13:18">
      <c r="N119" s="111" t="s">
        <v>4975</v>
      </c>
    </row>
    <row r="121" spans="13:18">
      <c r="N121" s="120" t="s">
        <v>5556</v>
      </c>
      <c r="R121" s="111">
        <v>8200</v>
      </c>
    </row>
    <row r="122" spans="13:18">
      <c r="N122" s="111" t="s">
        <v>3928</v>
      </c>
      <c r="R122" s="149"/>
    </row>
    <row r="123" spans="13:18">
      <c r="N123" s="111" t="s">
        <v>5000</v>
      </c>
    </row>
    <row r="124" spans="13:18">
      <c r="N124" s="111" t="s">
        <v>5330</v>
      </c>
    </row>
    <row r="125" spans="13:18">
      <c r="N125" s="111" t="s">
        <v>5172</v>
      </c>
    </row>
    <row r="126" spans="13:18">
      <c r="N126" s="111" t="s">
        <v>4975</v>
      </c>
    </row>
    <row r="127" spans="13:18">
      <c r="N127" s="111" t="s">
        <v>5557</v>
      </c>
    </row>
    <row r="128" spans="13:18">
      <c r="N128" s="120" t="s">
        <v>5175</v>
      </c>
      <c r="R128" s="111">
        <f>R121*6%</f>
        <v>492</v>
      </c>
    </row>
    <row r="131" spans="12:20">
      <c r="N131" s="120"/>
    </row>
    <row r="132" spans="12:20">
      <c r="L132" s="116"/>
      <c r="M132" s="121"/>
      <c r="N132" s="121"/>
      <c r="P132" s="111" t="s">
        <v>5791</v>
      </c>
    </row>
    <row r="134" spans="12:20">
      <c r="L134" s="116"/>
      <c r="M134" s="116" t="s">
        <v>5764</v>
      </c>
      <c r="N134" s="111" t="s">
        <v>5793</v>
      </c>
      <c r="O134" s="120"/>
      <c r="P134" s="111" t="s">
        <v>5792</v>
      </c>
      <c r="T134" s="111">
        <v>8800</v>
      </c>
    </row>
    <row r="135" spans="12:20">
      <c r="L135" s="116"/>
      <c r="M135" s="121"/>
      <c r="N135" s="121"/>
      <c r="P135" s="111" t="s">
        <v>3928</v>
      </c>
    </row>
    <row r="136" spans="12:20">
      <c r="P136" s="111" t="s">
        <v>5000</v>
      </c>
    </row>
    <row r="137" spans="12:20">
      <c r="P137" s="111" t="s">
        <v>5731</v>
      </c>
    </row>
    <row r="138" spans="12:20">
      <c r="P138" s="111" t="s">
        <v>5732</v>
      </c>
    </row>
    <row r="139" spans="12:20">
      <c r="P139" s="111" t="s">
        <v>5733</v>
      </c>
    </row>
    <row r="140" spans="12:20">
      <c r="P140" s="111" t="s">
        <v>4975</v>
      </c>
    </row>
    <row r="141" spans="12:20">
      <c r="P141" s="111" t="s">
        <v>5734</v>
      </c>
    </row>
    <row r="142" spans="12:20">
      <c r="P142" s="111" t="s">
        <v>5175</v>
      </c>
    </row>
    <row r="144" spans="12:20">
      <c r="M144" s="111" t="s">
        <v>5764</v>
      </c>
      <c r="N144" s="111" t="s">
        <v>5789</v>
      </c>
      <c r="P144" s="111" t="s">
        <v>5790</v>
      </c>
      <c r="T144" s="111">
        <v>350</v>
      </c>
    </row>
    <row r="145" spans="16:20">
      <c r="P145" s="111" t="s">
        <v>5116</v>
      </c>
      <c r="T145" s="111">
        <v>40</v>
      </c>
    </row>
    <row r="146" spans="16:20">
      <c r="P146" s="111" t="s">
        <v>5473</v>
      </c>
      <c r="T146" s="111">
        <v>40</v>
      </c>
    </row>
    <row r="149" spans="16:20">
      <c r="P149" s="111" t="s">
        <v>3928</v>
      </c>
    </row>
    <row r="150" spans="16:20">
      <c r="P150" s="111" t="s">
        <v>5000</v>
      </c>
    </row>
    <row r="151" spans="16:20">
      <c r="P151" s="111" t="s">
        <v>5731</v>
      </c>
    </row>
    <row r="152" spans="16:20">
      <c r="P152" s="111" t="s">
        <v>5732</v>
      </c>
    </row>
    <row r="153" spans="16:20">
      <c r="P153" s="111" t="s">
        <v>5733</v>
      </c>
    </row>
    <row r="154" spans="16:20">
      <c r="P154" s="111" t="s">
        <v>4975</v>
      </c>
    </row>
    <row r="155" spans="16:20">
      <c r="P155" s="111" t="s">
        <v>5734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424">
    <pageSetUpPr fitToPage="1"/>
  </sheetPr>
  <dimension ref="A1:F52"/>
  <sheetViews>
    <sheetView topLeftCell="A22" workbookViewId="0">
      <selection activeCell="G9" sqref="G9:G13"/>
    </sheetView>
  </sheetViews>
  <sheetFormatPr defaultRowHeight="12.75"/>
  <cols>
    <col min="1" max="1" width="14.28515625" style="111" customWidth="1"/>
    <col min="2" max="2" width="14" style="111" customWidth="1"/>
    <col min="3" max="3" width="23" style="111" customWidth="1"/>
    <col min="4" max="4" width="12" style="111" customWidth="1"/>
    <col min="5" max="5" width="9.710937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1239</v>
      </c>
      <c r="E9" s="147" t="s">
        <v>3993</v>
      </c>
    </row>
    <row r="10" spans="1:6">
      <c r="A10" s="111" t="s">
        <v>3989</v>
      </c>
      <c r="D10" s="112" t="s">
        <v>1124</v>
      </c>
      <c r="E10" s="212" t="s">
        <v>3995</v>
      </c>
    </row>
    <row r="11" spans="1:6">
      <c r="A11" s="111" t="s">
        <v>3990</v>
      </c>
      <c r="D11" s="112" t="s">
        <v>1125</v>
      </c>
      <c r="E11" s="212" t="s">
        <v>1094</v>
      </c>
    </row>
    <row r="12" spans="1:6">
      <c r="A12" s="111" t="s">
        <v>3991</v>
      </c>
      <c r="D12" s="112" t="s">
        <v>1096</v>
      </c>
      <c r="E12" s="212" t="s">
        <v>3994</v>
      </c>
    </row>
    <row r="13" spans="1:6">
      <c r="A13" s="111" t="s">
        <v>3992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C18" s="2" t="s">
        <v>3998</v>
      </c>
    </row>
    <row r="19" spans="1:6">
      <c r="A19" s="116"/>
      <c r="B19" s="116"/>
      <c r="C19" s="2"/>
    </row>
    <row r="20" spans="1:6">
      <c r="A20" s="116" t="s">
        <v>3996</v>
      </c>
      <c r="B20" s="116" t="s">
        <v>3997</v>
      </c>
      <c r="C20" s="111" t="s">
        <v>3999</v>
      </c>
      <c r="F20" s="111">
        <v>600</v>
      </c>
    </row>
    <row r="21" spans="1:6">
      <c r="A21" s="116"/>
      <c r="B21" s="116"/>
      <c r="C21" s="111" t="s">
        <v>1814</v>
      </c>
      <c r="F21" s="111">
        <f>F20*6%</f>
        <v>36</v>
      </c>
    </row>
    <row r="30" spans="1:6">
      <c r="A30" s="153"/>
    </row>
    <row r="31" spans="1:6">
      <c r="A31" s="153"/>
    </row>
    <row r="32" spans="1:6">
      <c r="A32" s="153"/>
    </row>
    <row r="33" spans="1:6" ht="13.5" thickBot="1">
      <c r="A33" s="153"/>
      <c r="F33" s="117">
        <f>SUM(F20:F32)</f>
        <v>636</v>
      </c>
    </row>
    <row r="34" spans="1:6" ht="13.5" thickTop="1">
      <c r="A34" s="153"/>
    </row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Six Hundred Thirty-Six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1-000000000000}">
  <sheetPr codeName="Sheet377">
    <pageSetUpPr fitToPage="1"/>
  </sheetPr>
  <dimension ref="A1:F54"/>
  <sheetViews>
    <sheetView topLeftCell="A16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31" t="s">
        <v>3322</v>
      </c>
    </row>
    <row r="10" spans="1:6">
      <c r="A10" s="111" t="s">
        <v>3324</v>
      </c>
      <c r="D10" s="112" t="s">
        <v>1180</v>
      </c>
      <c r="E10" s="132" t="s">
        <v>3240</v>
      </c>
    </row>
    <row r="11" spans="1:6">
      <c r="A11" s="111" t="s">
        <v>3325</v>
      </c>
      <c r="D11" s="112" t="s">
        <v>1181</v>
      </c>
      <c r="E11" s="132" t="s">
        <v>1094</v>
      </c>
    </row>
    <row r="12" spans="1:6">
      <c r="A12" s="111" t="s">
        <v>3326</v>
      </c>
      <c r="D12" s="112" t="s">
        <v>1182</v>
      </c>
      <c r="E12" s="132" t="s">
        <v>3323</v>
      </c>
    </row>
    <row r="13" spans="1:6">
      <c r="A13" s="111" t="s">
        <v>3327</v>
      </c>
    </row>
    <row r="14" spans="1:6">
      <c r="A14" s="111" t="s">
        <v>3328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3">
      <c r="A18" s="116"/>
      <c r="B18" s="121"/>
      <c r="C18" s="2" t="s">
        <v>3329</v>
      </c>
    </row>
    <row r="20" spans="1:3">
      <c r="A20" s="116" t="s">
        <v>3330</v>
      </c>
      <c r="B20" s="116" t="s">
        <v>3331</v>
      </c>
      <c r="C20" s="111" t="s">
        <v>3332</v>
      </c>
    </row>
    <row r="21" spans="1:3">
      <c r="C21" s="111" t="s">
        <v>3333</v>
      </c>
    </row>
    <row r="24" spans="1:3">
      <c r="A24" s="161"/>
      <c r="B24" s="121"/>
    </row>
    <row r="25" spans="1:3">
      <c r="A25" s="121"/>
      <c r="B25" s="121"/>
    </row>
    <row r="26" spans="1:3">
      <c r="A26" s="116"/>
      <c r="B26" s="121"/>
    </row>
    <row r="27" spans="1:3">
      <c r="A27" s="116"/>
      <c r="B27" s="121"/>
    </row>
    <row r="29" spans="1:3">
      <c r="A29" s="161"/>
      <c r="B29" s="121"/>
    </row>
    <row r="31" spans="1:3">
      <c r="C31" s="2"/>
    </row>
    <row r="33" spans="1:6">
      <c r="A33" s="116"/>
      <c r="B33" s="121"/>
    </row>
    <row r="34" spans="1:6">
      <c r="F34" s="122"/>
    </row>
    <row r="35" spans="1:6" ht="13.5" thickBot="1">
      <c r="F35" s="127">
        <f>SUM(F18:F33)</f>
        <v>0</v>
      </c>
    </row>
    <row r="36" spans="1:6" ht="13.5" thickTop="1"/>
    <row r="37" spans="1:6" ht="20.100000000000001" customHeight="1">
      <c r="A37" s="118" t="s">
        <v>204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/>
      </c>
      <c r="C37" s="119"/>
      <c r="D37" s="119"/>
      <c r="E37" s="119"/>
      <c r="F37" s="119"/>
    </row>
    <row r="38" spans="1:6">
      <c r="A38" s="120" t="s">
        <v>11</v>
      </c>
    </row>
    <row r="39" spans="1:6" ht="25.5">
      <c r="A39" s="126" t="s">
        <v>10</v>
      </c>
      <c r="D39" s="265" t="s">
        <v>2894</v>
      </c>
      <c r="E39" s="266"/>
      <c r="F39" s="267"/>
    </row>
    <row r="42" spans="1:6">
      <c r="A42" s="111" t="s">
        <v>52</v>
      </c>
      <c r="C42" s="121"/>
    </row>
    <row r="43" spans="1:6">
      <c r="A43" s="122"/>
      <c r="B43" s="122"/>
    </row>
    <row r="45" spans="1:6">
      <c r="A45" s="123" t="s">
        <v>8</v>
      </c>
      <c r="D45" s="123" t="s">
        <v>7</v>
      </c>
      <c r="F45" s="124"/>
    </row>
    <row r="49" spans="1:6">
      <c r="A49" s="122" t="s">
        <v>51</v>
      </c>
      <c r="B49" s="122"/>
      <c r="D49" s="122"/>
      <c r="E49" s="122"/>
      <c r="F49" s="122"/>
    </row>
    <row r="50" spans="1:6" s="126" customFormat="1" ht="17.100000000000001" customHeight="1">
      <c r="A50" s="151" t="s">
        <v>2948</v>
      </c>
      <c r="B50" s="125"/>
      <c r="D50" s="126" t="s">
        <v>3</v>
      </c>
    </row>
    <row r="51" spans="1:6">
      <c r="D51" s="111" t="s">
        <v>2</v>
      </c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1-000000000000}">
  <sheetPr codeName="Sheet378">
    <pageSetUpPr fitToPage="1"/>
  </sheetPr>
  <dimension ref="A1:F52"/>
  <sheetViews>
    <sheetView topLeftCell="A4" workbookViewId="0">
      <selection activeCell="G9" sqref="G9:G13"/>
    </sheetView>
  </sheetViews>
  <sheetFormatPr defaultRowHeight="12.75"/>
  <cols>
    <col min="1" max="1" width="15.85546875" style="111" customWidth="1"/>
    <col min="2" max="2" width="15.140625" style="111" customWidth="1"/>
    <col min="3" max="3" width="22.42578125" style="111" customWidth="1"/>
    <col min="4" max="4" width="13.140625" style="111" customWidth="1"/>
    <col min="5" max="5" width="8.2851562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3334</v>
      </c>
    </row>
    <row r="10" spans="1:6">
      <c r="A10" s="111" t="s">
        <v>3336</v>
      </c>
      <c r="D10" s="112" t="s">
        <v>1180</v>
      </c>
      <c r="E10" s="112" t="s">
        <v>3240</v>
      </c>
    </row>
    <row r="11" spans="1:6">
      <c r="A11" s="111" t="s">
        <v>3337</v>
      </c>
      <c r="D11" s="112" t="s">
        <v>1181</v>
      </c>
      <c r="E11" s="112" t="s">
        <v>1094</v>
      </c>
    </row>
    <row r="12" spans="1:6">
      <c r="A12" s="111" t="s">
        <v>3338</v>
      </c>
      <c r="D12" s="112" t="s">
        <v>1182</v>
      </c>
      <c r="E12" s="112" t="s">
        <v>3335</v>
      </c>
    </row>
    <row r="13" spans="1:6">
      <c r="A13" s="111" t="s">
        <v>1336</v>
      </c>
    </row>
    <row r="14" spans="1:6">
      <c r="A14" s="111" t="s">
        <v>1933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3339</v>
      </c>
    </row>
    <row r="19" spans="1:6">
      <c r="A19" s="120"/>
      <c r="C19" s="2"/>
    </row>
    <row r="20" spans="1:6">
      <c r="A20" s="116" t="s">
        <v>3340</v>
      </c>
      <c r="B20" s="116" t="s">
        <v>3341</v>
      </c>
      <c r="C20" s="111" t="s">
        <v>3342</v>
      </c>
      <c r="F20" s="111">
        <v>5000</v>
      </c>
    </row>
    <row r="21" spans="1:6">
      <c r="C21" s="120"/>
    </row>
    <row r="22" spans="1:6">
      <c r="A22" s="112"/>
      <c r="B22" s="116"/>
      <c r="C22" s="2"/>
    </row>
    <row r="23" spans="1:6">
      <c r="C23" s="2"/>
    </row>
    <row r="24" spans="1:6">
      <c r="A24" s="116"/>
      <c r="B24" s="121"/>
    </row>
    <row r="25" spans="1:6">
      <c r="A25" s="161"/>
      <c r="B25" s="157"/>
      <c r="F25" s="149"/>
    </row>
    <row r="26" spans="1:6">
      <c r="A26" s="148"/>
      <c r="B26" s="120"/>
    </row>
    <row r="27" spans="1:6">
      <c r="A27" s="148"/>
    </row>
    <row r="28" spans="1:6">
      <c r="A28" s="148"/>
    </row>
    <row r="33" spans="1:6" ht="13.5" thickBot="1">
      <c r="F33" s="127">
        <f>SUM(F20:F32)</f>
        <v>5000</v>
      </c>
    </row>
    <row r="34" spans="1:6" ht="13.5" thickTop="1"/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Five Thousand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4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1-000000000000}">
  <sheetPr codeName="Sheet256">
    <pageSetUpPr fitToPage="1"/>
  </sheetPr>
  <dimension ref="A1:F54"/>
  <sheetViews>
    <sheetView topLeftCell="A4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2586</v>
      </c>
      <c r="F9" s="111"/>
    </row>
    <row r="10" spans="1:6">
      <c r="A10" s="111" t="s">
        <v>2257</v>
      </c>
      <c r="B10" s="111"/>
      <c r="C10" s="111"/>
      <c r="D10" s="112" t="s">
        <v>1162</v>
      </c>
      <c r="E10" s="123" t="s">
        <v>2582</v>
      </c>
      <c r="F10" s="111"/>
    </row>
    <row r="11" spans="1:6">
      <c r="A11" s="111" t="s">
        <v>2258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2259</v>
      </c>
      <c r="B12" s="111"/>
      <c r="C12" s="111"/>
      <c r="D12" s="112" t="s">
        <v>1096</v>
      </c>
      <c r="E12" s="112" t="s">
        <v>2587</v>
      </c>
      <c r="F12" s="111"/>
    </row>
    <row r="13" spans="1:6">
      <c r="A13" s="111" t="s">
        <v>2260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B18" s="116"/>
      <c r="C18" s="2" t="s">
        <v>2588</v>
      </c>
      <c r="D18" s="111"/>
      <c r="E18" s="111"/>
      <c r="F18" s="111"/>
    </row>
    <row r="19" spans="1:6">
      <c r="A19" s="111"/>
      <c r="B19" s="111"/>
      <c r="C19" s="111"/>
      <c r="D19" s="111"/>
      <c r="E19" s="111"/>
      <c r="F19" s="111"/>
    </row>
    <row r="20" spans="1:6">
      <c r="A20" s="116" t="s">
        <v>2575</v>
      </c>
      <c r="B20" s="121" t="s">
        <v>2589</v>
      </c>
      <c r="C20" s="111" t="s">
        <v>2252</v>
      </c>
      <c r="D20" s="111"/>
      <c r="E20" s="111"/>
      <c r="F20" s="111">
        <v>750</v>
      </c>
    </row>
    <row r="21" spans="1:6">
      <c r="A21" s="112"/>
      <c r="B21" s="111"/>
      <c r="C21" s="111"/>
      <c r="D21" s="111"/>
      <c r="E21" s="111"/>
      <c r="F21" s="111"/>
    </row>
    <row r="22" spans="1:6">
      <c r="A22" s="111"/>
      <c r="B22" s="111"/>
      <c r="C22" s="111" t="s">
        <v>2590</v>
      </c>
      <c r="D22" s="111"/>
      <c r="E22" s="111"/>
      <c r="F22" s="111">
        <v>3500</v>
      </c>
    </row>
    <row r="23" spans="1:6">
      <c r="A23" s="111"/>
      <c r="B23" s="111"/>
      <c r="C23" s="111"/>
      <c r="D23" s="111"/>
      <c r="E23" s="111"/>
      <c r="F23" s="111"/>
    </row>
    <row r="24" spans="1:6">
      <c r="A24" s="111"/>
      <c r="B24" s="111"/>
      <c r="C24" s="111" t="s">
        <v>2320</v>
      </c>
      <c r="D24" s="111"/>
      <c r="E24" s="111"/>
      <c r="F24" s="111">
        <v>250</v>
      </c>
    </row>
    <row r="25" spans="1:6">
      <c r="A25" s="111"/>
      <c r="B25" s="111"/>
      <c r="C25" s="111"/>
      <c r="D25" s="111"/>
      <c r="E25" s="111"/>
      <c r="F25" s="111"/>
    </row>
    <row r="26" spans="1:6">
      <c r="A26" s="111"/>
      <c r="B26" s="111"/>
      <c r="C26" s="111" t="s">
        <v>2321</v>
      </c>
      <c r="D26" s="111"/>
      <c r="E26" s="111"/>
      <c r="F26" s="111">
        <v>350</v>
      </c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 t="s">
        <v>2451</v>
      </c>
      <c r="D28" s="111"/>
      <c r="E28" s="111"/>
      <c r="F28" s="111">
        <v>50</v>
      </c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4900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202" t="s">
        <v>2591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4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1-000000000000}">
  <sheetPr codeName="Sheet379"/>
  <dimension ref="A1:R60"/>
  <sheetViews>
    <sheetView tabSelected="1" view="pageBreakPreview" zoomScaleNormal="100" zoomScaleSheetLayoutView="100" workbookViewId="0">
      <selection activeCell="G11" sqref="G11"/>
    </sheetView>
  </sheetViews>
  <sheetFormatPr defaultRowHeight="12.75"/>
  <cols>
    <col min="1" max="1" width="16.28515625" style="111" customWidth="1"/>
    <col min="2" max="2" width="12.28515625" style="111" customWidth="1"/>
    <col min="3" max="3" width="1.42578125" style="111" customWidth="1"/>
    <col min="4" max="4" width="21.85546875" style="111" customWidth="1"/>
    <col min="5" max="5" width="1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1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8">
      <c r="A8" s="111" t="s">
        <v>24</v>
      </c>
      <c r="B8"/>
      <c r="C8"/>
      <c r="D8"/>
      <c r="E8"/>
      <c r="F8" s="22" t="s">
        <v>23</v>
      </c>
      <c r="G8"/>
      <c r="H8"/>
      <c r="K8" s="485" t="s">
        <v>6656</v>
      </c>
      <c r="L8" s="485" t="s">
        <v>6658</v>
      </c>
      <c r="M8" s="485"/>
      <c r="N8" s="486" t="s">
        <v>6662</v>
      </c>
      <c r="O8" s="482"/>
      <c r="P8"/>
      <c r="Q8"/>
      <c r="R8" s="514">
        <v>5650</v>
      </c>
    </row>
    <row r="9" spans="1:18">
      <c r="A9"/>
      <c r="B9"/>
      <c r="C9"/>
      <c r="D9"/>
      <c r="E9"/>
      <c r="F9" s="112" t="s">
        <v>1123</v>
      </c>
      <c r="G9" s="489" t="s">
        <v>7281</v>
      </c>
      <c r="H9"/>
      <c r="K9"/>
      <c r="L9"/>
      <c r="M9"/>
      <c r="N9" s="483" t="s">
        <v>6659</v>
      </c>
      <c r="O9" s="482"/>
      <c r="P9"/>
      <c r="Q9"/>
      <c r="R9"/>
    </row>
    <row r="10" spans="1:18">
      <c r="A10" s="111" t="s">
        <v>3347</v>
      </c>
      <c r="B10" s="410"/>
      <c r="C10"/>
      <c r="D10"/>
      <c r="E10"/>
      <c r="F10" s="112" t="s">
        <v>1124</v>
      </c>
      <c r="G10" s="489" t="s">
        <v>7265</v>
      </c>
      <c r="H10"/>
      <c r="K10" s="485"/>
      <c r="L10" s="485"/>
      <c r="M10" s="485"/>
      <c r="N10" s="483"/>
      <c r="O10"/>
      <c r="P10"/>
      <c r="Q10"/>
      <c r="R10" s="483"/>
    </row>
    <row r="11" spans="1:18">
      <c r="A11" s="410" t="s">
        <v>3348</v>
      </c>
      <c r="B11" s="410"/>
      <c r="C11"/>
      <c r="D11"/>
      <c r="E11"/>
      <c r="F11" s="112" t="s">
        <v>1125</v>
      </c>
      <c r="G11" s="489" t="s">
        <v>1094</v>
      </c>
      <c r="H11"/>
      <c r="K11" s="485" t="s">
        <v>6656</v>
      </c>
      <c r="L11" s="485" t="s">
        <v>6660</v>
      </c>
      <c r="M11" s="485"/>
      <c r="N11" s="483" t="s">
        <v>6661</v>
      </c>
      <c r="O11"/>
      <c r="P11"/>
      <c r="Q11"/>
      <c r="R11" s="483">
        <v>5650</v>
      </c>
    </row>
    <row r="12" spans="1:18">
      <c r="A12" s="410" t="s">
        <v>2504</v>
      </c>
      <c r="B12" s="410"/>
      <c r="C12"/>
      <c r="D12"/>
      <c r="E12"/>
      <c r="F12" s="112" t="s">
        <v>1096</v>
      </c>
      <c r="G12" s="483" t="s">
        <v>7282</v>
      </c>
      <c r="H12"/>
      <c r="K12" s="485"/>
      <c r="L12" s="485"/>
      <c r="M12" s="121"/>
      <c r="N12" s="483"/>
      <c r="O12"/>
      <c r="P12"/>
      <c r="Q12"/>
      <c r="R12" s="483"/>
    </row>
    <row r="13" spans="1:18">
      <c r="A13" s="111" t="s">
        <v>1287</v>
      </c>
      <c r="G13" s="483" t="s">
        <v>6182</v>
      </c>
    </row>
    <row r="14" spans="1:18">
      <c r="A14" s="111" t="s">
        <v>4692</v>
      </c>
      <c r="G14" s="483"/>
    </row>
    <row r="16" spans="1:18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14">
      <c r="A18" s="485"/>
      <c r="B18" s="485"/>
      <c r="C18" s="116"/>
      <c r="D18" s="168" t="s">
        <v>3551</v>
      </c>
      <c r="E18" s="2"/>
      <c r="F18"/>
      <c r="G18"/>
      <c r="H18" s="514"/>
      <c r="I18" s="242"/>
    </row>
    <row r="19" spans="1:14">
      <c r="A19"/>
      <c r="B19"/>
      <c r="C19"/>
      <c r="D19" s="483"/>
      <c r="E19" s="2"/>
      <c r="F19"/>
      <c r="G19"/>
      <c r="H19"/>
      <c r="I19"/>
      <c r="K19" s="111" t="s">
        <v>3565</v>
      </c>
      <c r="N19" s="111">
        <f>19060/2</f>
        <v>9530</v>
      </c>
    </row>
    <row r="20" spans="1:14">
      <c r="A20" s="485" t="s">
        <v>7201</v>
      </c>
      <c r="B20" s="485" t="s">
        <v>7283</v>
      </c>
      <c r="C20" s="116"/>
      <c r="D20" s="111" t="s">
        <v>7284</v>
      </c>
      <c r="E20"/>
      <c r="F20"/>
      <c r="G20"/>
      <c r="H20" s="111">
        <f>9200</f>
        <v>9200</v>
      </c>
      <c r="I20"/>
      <c r="J20" s="111">
        <f>100/400</f>
        <v>0.25</v>
      </c>
      <c r="K20" s="167" t="s">
        <v>3566</v>
      </c>
    </row>
    <row r="21" spans="1:14">
      <c r="A21" s="485"/>
      <c r="B21" s="485"/>
      <c r="C21" s="116"/>
      <c r="D21" s="483"/>
      <c r="E21"/>
      <c r="F21"/>
      <c r="G21"/>
      <c r="H21" s="483"/>
      <c r="I21"/>
    </row>
    <row r="22" spans="1:14">
      <c r="A22" s="485"/>
      <c r="B22" s="485"/>
      <c r="C22" s="121"/>
      <c r="D22" s="483"/>
      <c r="E22"/>
      <c r="F22"/>
      <c r="G22"/>
      <c r="H22" s="483"/>
      <c r="I22"/>
    </row>
    <row r="23" spans="1:14">
      <c r="A23" s="116"/>
      <c r="B23" s="116"/>
      <c r="C23" s="410"/>
      <c r="D23" s="483"/>
      <c r="E23" s="2"/>
      <c r="F23" s="410"/>
      <c r="G23" s="410"/>
      <c r="H23" s="483"/>
      <c r="I23"/>
    </row>
    <row r="24" spans="1:14">
      <c r="A24" s="485"/>
      <c r="B24" s="485"/>
      <c r="C24" s="116"/>
      <c r="D24" s="483"/>
      <c r="E24" s="410"/>
      <c r="F24" s="410"/>
      <c r="H24" s="483"/>
      <c r="I24"/>
    </row>
    <row r="25" spans="1:14">
      <c r="A25" s="116"/>
      <c r="B25" s="116"/>
      <c r="C25" s="116"/>
      <c r="D25" s="482"/>
      <c r="E25" s="410"/>
      <c r="F25" s="410"/>
      <c r="H25" s="483"/>
    </row>
    <row r="26" spans="1:14">
      <c r="A26" s="485"/>
      <c r="B26" s="485"/>
      <c r="D26" s="483"/>
      <c r="H26" s="483"/>
    </row>
    <row r="27" spans="1:14">
      <c r="A27" s="485"/>
      <c r="B27" s="485"/>
      <c r="C27" s="116"/>
      <c r="D27" s="483"/>
      <c r="E27" s="2"/>
      <c r="F27" s="410"/>
      <c r="H27" s="149"/>
    </row>
    <row r="28" spans="1:14">
      <c r="A28" s="485"/>
      <c r="B28" s="485"/>
      <c r="C28" s="116"/>
      <c r="D28" s="483"/>
      <c r="E28" s="2"/>
      <c r="F28" s="410"/>
      <c r="H28" s="149"/>
    </row>
    <row r="29" spans="1:14">
      <c r="A29" s="116"/>
      <c r="B29" s="116"/>
      <c r="C29" s="116"/>
      <c r="E29" s="410"/>
      <c r="F29" s="410"/>
      <c r="H29" s="149"/>
    </row>
    <row r="30" spans="1:14" s="483" customFormat="1">
      <c r="A30" s="485"/>
      <c r="B30" s="485"/>
      <c r="C30" s="485"/>
      <c r="E30" s="410"/>
      <c r="F30" s="410"/>
      <c r="H30" s="149"/>
    </row>
    <row r="31" spans="1:14" s="483" customFormat="1">
      <c r="A31" s="485"/>
      <c r="B31" s="485"/>
      <c r="C31" s="485"/>
      <c r="E31" s="410"/>
      <c r="F31" s="410"/>
      <c r="H31" s="149"/>
    </row>
    <row r="32" spans="1:14">
      <c r="A32" s="116"/>
      <c r="B32" s="116"/>
      <c r="C32"/>
      <c r="E32"/>
      <c r="F32"/>
      <c r="G32"/>
      <c r="H32" s="149"/>
    </row>
    <row r="33" spans="1:8">
      <c r="A33" s="255"/>
      <c r="B33" s="255"/>
      <c r="C33" s="255"/>
      <c r="E33" s="410"/>
      <c r="F33" s="410"/>
      <c r="G33" s="410"/>
      <c r="H33" s="149"/>
    </row>
    <row r="34" spans="1:8">
      <c r="A34" s="255"/>
      <c r="B34" s="255"/>
      <c r="C34" s="255"/>
      <c r="E34" s="410"/>
      <c r="F34" s="410"/>
      <c r="G34" s="410"/>
      <c r="H34" s="149"/>
    </row>
    <row r="35" spans="1:8">
      <c r="A35" s="120"/>
      <c r="H35" s="149"/>
    </row>
    <row r="36" spans="1:8" ht="13.5" thickBot="1">
      <c r="A36"/>
      <c r="B36"/>
      <c r="C36"/>
      <c r="D36"/>
      <c r="E36"/>
      <c r="F36"/>
      <c r="G36"/>
      <c r="H36" s="117">
        <f>SUM(H18:H35)</f>
        <v>9200</v>
      </c>
    </row>
    <row r="37" spans="1:8" ht="12.75" customHeight="1" thickTop="1">
      <c r="A37"/>
      <c r="B37"/>
      <c r="C37"/>
      <c r="D37"/>
      <c r="E37"/>
      <c r="F37"/>
      <c r="G37"/>
      <c r="H37"/>
    </row>
    <row r="38" spans="1:8" ht="21.75" customHeight="1">
      <c r="A38" s="118" t="s">
        <v>1133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Nine Thousand Two Hundred and NO/100 -----------</v>
      </c>
      <c r="C38" s="202"/>
      <c r="D38" s="119"/>
      <c r="E38" s="119"/>
      <c r="F38" s="119"/>
      <c r="G38" s="119"/>
      <c r="H38" s="119"/>
    </row>
    <row r="39" spans="1:8" ht="12" customHeight="1">
      <c r="A39" s="160"/>
      <c r="B39" s="151"/>
      <c r="C39" s="151"/>
      <c r="D39" s="126"/>
      <c r="E39" s="126"/>
      <c r="F39" s="126"/>
      <c r="G39" s="126"/>
      <c r="H39" s="126"/>
    </row>
    <row r="40" spans="1:8" ht="25.5">
      <c r="A40" s="160" t="s">
        <v>3060</v>
      </c>
      <c r="B40"/>
      <c r="C40"/>
      <c r="D40"/>
      <c r="E40"/>
      <c r="F40" s="265" t="s">
        <v>2894</v>
      </c>
      <c r="G40" s="266"/>
      <c r="H40" s="267"/>
    </row>
    <row r="41" spans="1:8">
      <c r="A41"/>
      <c r="B41"/>
      <c r="C41"/>
      <c r="D41"/>
      <c r="E41"/>
      <c r="F41" s="310"/>
      <c r="G41" s="311"/>
      <c r="H41" s="311"/>
    </row>
    <row r="42" spans="1:8">
      <c r="A42"/>
      <c r="B42"/>
      <c r="C42"/>
      <c r="D42" s="121"/>
      <c r="E42" s="121"/>
      <c r="F42"/>
      <c r="G42"/>
      <c r="H42"/>
    </row>
    <row r="43" spans="1:8">
      <c r="A43"/>
      <c r="B43"/>
      <c r="C43"/>
      <c r="D43" s="121"/>
      <c r="E43" s="121"/>
      <c r="F43"/>
      <c r="G43"/>
      <c r="H43"/>
    </row>
    <row r="44" spans="1:8">
      <c r="A44" s="122"/>
      <c r="B44" s="122"/>
      <c r="F44"/>
      <c r="G44"/>
      <c r="H44"/>
    </row>
    <row r="46" spans="1:8">
      <c r="A46" s="123" t="s">
        <v>8</v>
      </c>
      <c r="B46"/>
      <c r="C46"/>
      <c r="D46" s="123" t="s">
        <v>8</v>
      </c>
      <c r="E46"/>
      <c r="F46" s="123" t="s">
        <v>7</v>
      </c>
      <c r="G46"/>
      <c r="H46" s="124"/>
    </row>
    <row r="47" spans="1:8" s="126" customFormat="1" ht="17.100000000000001" customHeight="1">
      <c r="A47" s="151"/>
      <c r="B47" s="125"/>
      <c r="C47" s="125"/>
      <c r="D47" s="151"/>
    </row>
    <row r="49" spans="1:8">
      <c r="A49"/>
      <c r="B49"/>
      <c r="C49"/>
      <c r="D49"/>
      <c r="E49"/>
    </row>
    <row r="50" spans="1:8">
      <c r="A50" s="122"/>
      <c r="B50" s="122"/>
      <c r="D50" s="122"/>
      <c r="E50"/>
      <c r="F50" s="122"/>
      <c r="G50" s="122"/>
      <c r="H50" s="122"/>
    </row>
    <row r="51" spans="1:8">
      <c r="A51" s="111" t="s">
        <v>2948</v>
      </c>
      <c r="B51" s="125"/>
      <c r="C51" s="125"/>
      <c r="D51" s="111" t="s">
        <v>103</v>
      </c>
      <c r="E51" s="126"/>
      <c r="F51" s="126" t="s">
        <v>3</v>
      </c>
      <c r="G51" s="126"/>
      <c r="H51" s="126"/>
    </row>
    <row r="52" spans="1:8">
      <c r="A52"/>
      <c r="B52"/>
      <c r="C52"/>
      <c r="D52"/>
      <c r="E52"/>
      <c r="F52" s="111" t="s">
        <v>2</v>
      </c>
      <c r="G52"/>
      <c r="H52"/>
    </row>
    <row r="54" spans="1:8">
      <c r="A54"/>
      <c r="B54"/>
      <c r="C54"/>
      <c r="D54"/>
      <c r="E54"/>
      <c r="F54" s="2" t="s">
        <v>1</v>
      </c>
      <c r="G54"/>
      <c r="H54"/>
    </row>
    <row r="55" spans="1:8">
      <c r="F55" s="2" t="s">
        <v>0</v>
      </c>
      <c r="G55"/>
    </row>
    <row r="60" spans="1:8">
      <c r="D60"/>
      <c r="E60"/>
      <c r="F60"/>
      <c r="G60"/>
      <c r="H60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4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1-000000000000}">
  <sheetPr codeName="Sheet407">
    <pageSetUpPr fitToPage="1"/>
  </sheetPr>
  <dimension ref="A1:G52"/>
  <sheetViews>
    <sheetView topLeftCell="A16" workbookViewId="0">
      <selection activeCell="G9" sqref="G9:G13"/>
    </sheetView>
  </sheetViews>
  <sheetFormatPr defaultRowHeight="12.75"/>
  <cols>
    <col min="1" max="1" width="15.85546875" style="131" customWidth="1"/>
    <col min="2" max="2" width="11.85546875" style="131" customWidth="1"/>
    <col min="3" max="3" width="21" style="131" customWidth="1"/>
    <col min="4" max="4" width="12.85546875" style="131" customWidth="1"/>
    <col min="5" max="5" width="8.285156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1123</v>
      </c>
      <c r="E9" s="111" t="s">
        <v>3552</v>
      </c>
    </row>
    <row r="10" spans="1:6">
      <c r="A10" s="131" t="s">
        <v>3553</v>
      </c>
      <c r="D10" s="132" t="s">
        <v>1124</v>
      </c>
      <c r="E10" s="123" t="s">
        <v>3547</v>
      </c>
    </row>
    <row r="11" spans="1:6">
      <c r="A11" s="140" t="s">
        <v>3554</v>
      </c>
      <c r="D11" s="132" t="s">
        <v>1125</v>
      </c>
      <c r="E11" s="112" t="s">
        <v>1094</v>
      </c>
    </row>
    <row r="12" spans="1:6">
      <c r="A12" s="131" t="s">
        <v>3555</v>
      </c>
      <c r="D12" s="132" t="s">
        <v>1096</v>
      </c>
      <c r="E12" s="112" t="s">
        <v>1270</v>
      </c>
    </row>
    <row r="13" spans="1:6">
      <c r="E13" s="111"/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8" spans="1:7">
      <c r="A18" s="158"/>
      <c r="B18" s="158"/>
      <c r="C18" s="110" t="s">
        <v>3556</v>
      </c>
      <c r="G18" s="250"/>
    </row>
    <row r="19" spans="1:7">
      <c r="C19" s="110" t="s">
        <v>3557</v>
      </c>
    </row>
    <row r="20" spans="1:7">
      <c r="B20" s="158"/>
      <c r="C20" s="243"/>
    </row>
    <row r="21" spans="1:7">
      <c r="A21" s="140" t="s">
        <v>3558</v>
      </c>
      <c r="C21" s="131" t="s">
        <v>3559</v>
      </c>
      <c r="F21" s="131">
        <f>9500*3.0832</f>
        <v>29290.400000000001</v>
      </c>
    </row>
    <row r="22" spans="1:7">
      <c r="A22" s="132"/>
      <c r="B22" s="158"/>
      <c r="C22" s="131" t="s">
        <v>3560</v>
      </c>
      <c r="F22" s="131">
        <f>5200*3.0832</f>
        <v>16032.640000000001</v>
      </c>
    </row>
    <row r="23" spans="1:7">
      <c r="A23" s="132"/>
      <c r="C23" s="140" t="s">
        <v>1922</v>
      </c>
      <c r="F23" s="131">
        <f>300*3.0832</f>
        <v>924.96</v>
      </c>
    </row>
    <row r="24" spans="1:7">
      <c r="A24" s="158"/>
      <c r="B24" s="158"/>
      <c r="C24" s="131" t="s">
        <v>3561</v>
      </c>
      <c r="F24" s="131">
        <f>1500*3.0832</f>
        <v>4624.8</v>
      </c>
    </row>
    <row r="25" spans="1:7">
      <c r="C25" s="131" t="s">
        <v>3562</v>
      </c>
      <c r="F25" s="131">
        <f>1155*3.0832</f>
        <v>3561.096</v>
      </c>
    </row>
    <row r="26" spans="1:7">
      <c r="B26" s="140"/>
    </row>
    <row r="27" spans="1:7">
      <c r="A27" s="132"/>
      <c r="C27" s="131" t="s">
        <v>3563</v>
      </c>
    </row>
    <row r="28" spans="1:7">
      <c r="A28" s="132"/>
      <c r="B28" s="158"/>
      <c r="C28" s="140"/>
    </row>
    <row r="29" spans="1:7">
      <c r="C29" s="131" t="s">
        <v>2831</v>
      </c>
      <c r="F29" s="131">
        <v>10</v>
      </c>
    </row>
    <row r="30" spans="1:7">
      <c r="C30" s="131" t="s">
        <v>1814</v>
      </c>
      <c r="F30" s="131">
        <v>0.6</v>
      </c>
    </row>
    <row r="33" spans="1:6" ht="13.5" thickBot="1">
      <c r="F33" s="137">
        <f>SUM(F18:F32)</f>
        <v>54444.495999999999</v>
      </c>
    </row>
    <row r="34" spans="1:6" ht="13.5" thickTop="1"/>
    <row r="35" spans="1:6" ht="20.100000000000001" customHeight="1">
      <c r="A35" s="13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Fifty-Four Thousand Four Hundred Forty-Four and 50/100 -----------</v>
      </c>
      <c r="C35" s="139"/>
      <c r="D35" s="139"/>
      <c r="E35" s="139"/>
      <c r="F35" s="139"/>
    </row>
    <row r="36" spans="1:6">
      <c r="A36" s="140" t="s">
        <v>11</v>
      </c>
    </row>
    <row r="37" spans="1:6" ht="25.5">
      <c r="A37" s="131" t="s">
        <v>10</v>
      </c>
      <c r="D37" s="265" t="s">
        <v>2894</v>
      </c>
      <c r="E37" s="266"/>
      <c r="F37" s="267"/>
    </row>
    <row r="39" spans="1:6">
      <c r="A39" s="147"/>
    </row>
    <row r="40" spans="1:6">
      <c r="C40" s="141"/>
    </row>
    <row r="41" spans="1:6">
      <c r="A41" s="142"/>
      <c r="B41" s="142"/>
    </row>
    <row r="43" spans="1:6">
      <c r="A43" s="143" t="s">
        <v>8</v>
      </c>
      <c r="D43" s="143" t="s">
        <v>7</v>
      </c>
      <c r="F43" s="144"/>
    </row>
    <row r="47" spans="1:6">
      <c r="A47" s="142"/>
      <c r="B47" s="142"/>
      <c r="D47" s="142"/>
      <c r="E47" s="142"/>
      <c r="F47" s="142"/>
    </row>
    <row r="48" spans="1:6" s="147" customFormat="1" ht="17.100000000000001" customHeight="1">
      <c r="A48" s="145" t="s">
        <v>2948</v>
      </c>
      <c r="B48" s="146"/>
      <c r="D48" s="147" t="s">
        <v>3</v>
      </c>
    </row>
    <row r="49" spans="1:4">
      <c r="D49" s="131" t="s">
        <v>2</v>
      </c>
    </row>
    <row r="50" spans="1:4">
      <c r="A50" s="145"/>
    </row>
    <row r="51" spans="1:4">
      <c r="D51" s="110" t="s">
        <v>1</v>
      </c>
    </row>
    <row r="52" spans="1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4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1-000000000000}">
  <sheetPr codeName="Sheet408">
    <pageSetUpPr fitToPage="1"/>
  </sheetPr>
  <dimension ref="A1:O53"/>
  <sheetViews>
    <sheetView zoomScaleNormal="100" workbookViewId="0">
      <selection activeCell="G9" sqref="G9:G13"/>
    </sheetView>
  </sheetViews>
  <sheetFormatPr defaultRowHeight="12.75"/>
  <cols>
    <col min="1" max="1" width="15.42578125" style="111" customWidth="1"/>
    <col min="2" max="2" width="11.85546875" style="111" customWidth="1"/>
    <col min="3" max="3" width="21" style="111" customWidth="1"/>
    <col min="4" max="4" width="16.42578125" style="111" customWidth="1"/>
    <col min="5" max="5" width="12.5703125" style="111" customWidth="1"/>
    <col min="6" max="6" width="13.28515625" style="111" customWidth="1"/>
    <col min="7" max="16384" width="9.140625" style="111"/>
  </cols>
  <sheetData>
    <row r="1" spans="1:15" ht="15">
      <c r="A1" s="528" t="s">
        <v>26</v>
      </c>
      <c r="B1" s="528"/>
      <c r="C1" s="528"/>
      <c r="D1" s="528"/>
      <c r="E1" s="528"/>
      <c r="F1" s="528"/>
    </row>
    <row r="2" spans="1:15">
      <c r="A2" s="530" t="s">
        <v>25</v>
      </c>
      <c r="B2" s="530"/>
      <c r="C2" s="530"/>
      <c r="D2" s="530"/>
      <c r="E2" s="530"/>
      <c r="F2" s="530"/>
    </row>
    <row r="3" spans="1:15">
      <c r="A3" s="530" t="s">
        <v>1480</v>
      </c>
      <c r="B3" s="530"/>
      <c r="C3" s="530"/>
      <c r="D3" s="530"/>
      <c r="E3" s="530"/>
      <c r="F3" s="530"/>
    </row>
    <row r="4" spans="1:15">
      <c r="A4" s="530" t="s">
        <v>1684</v>
      </c>
      <c r="B4" s="530"/>
      <c r="C4" s="530"/>
      <c r="D4" s="530"/>
      <c r="E4" s="530"/>
      <c r="F4" s="530"/>
    </row>
    <row r="8" spans="1:15">
      <c r="A8" s="111" t="s">
        <v>24</v>
      </c>
      <c r="D8" s="22" t="s">
        <v>23</v>
      </c>
    </row>
    <row r="9" spans="1:15">
      <c r="D9" s="112" t="s">
        <v>1716</v>
      </c>
      <c r="E9" s="111" t="s">
        <v>4724</v>
      </c>
      <c r="J9" s="116" t="s">
        <v>4625</v>
      </c>
      <c r="K9" s="116"/>
      <c r="L9" s="111" t="s">
        <v>4626</v>
      </c>
      <c r="O9" s="111">
        <v>1250</v>
      </c>
    </row>
    <row r="10" spans="1:15">
      <c r="A10" s="111" t="s">
        <v>3609</v>
      </c>
      <c r="D10" s="112" t="s">
        <v>1162</v>
      </c>
      <c r="E10" s="112" t="s">
        <v>4713</v>
      </c>
    </row>
    <row r="11" spans="1:15">
      <c r="A11" s="111" t="s">
        <v>3610</v>
      </c>
      <c r="D11" s="112" t="s">
        <v>1163</v>
      </c>
      <c r="E11" s="111" t="s">
        <v>1094</v>
      </c>
    </row>
    <row r="12" spans="1:15">
      <c r="A12" s="111" t="s">
        <v>1823</v>
      </c>
      <c r="D12" s="112" t="s">
        <v>1096</v>
      </c>
      <c r="E12" s="120" t="s">
        <v>4725</v>
      </c>
    </row>
    <row r="13" spans="1:15">
      <c r="A13" s="111" t="s">
        <v>1287</v>
      </c>
      <c r="E13" s="112"/>
    </row>
    <row r="16" spans="1:15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8" spans="1:6" ht="16.5" customHeight="1">
      <c r="C18" s="2" t="s">
        <v>3572</v>
      </c>
    </row>
    <row r="20" spans="1:6">
      <c r="A20" s="116" t="s">
        <v>4719</v>
      </c>
      <c r="B20" s="116"/>
      <c r="C20" s="111" t="s">
        <v>4726</v>
      </c>
      <c r="F20" s="111">
        <v>1250</v>
      </c>
    </row>
    <row r="30" spans="1:6">
      <c r="F30" s="2"/>
    </row>
    <row r="31" spans="1:6">
      <c r="B31" s="120"/>
    </row>
    <row r="32" spans="1:6">
      <c r="B32" s="120"/>
    </row>
    <row r="34" spans="1:6" ht="13.5" thickBot="1">
      <c r="F34" s="127">
        <f>SUM(F18:F33)</f>
        <v>1250</v>
      </c>
    </row>
    <row r="35" spans="1:6" ht="13.5" thickTop="1"/>
    <row r="36" spans="1:6" ht="20.100000000000001" customHeight="1">
      <c r="A36" s="118" t="s">
        <v>1717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Two Hundred Fifty and NO/100 -----------</v>
      </c>
      <c r="C36" s="119"/>
      <c r="D36" s="119"/>
      <c r="E36" s="119"/>
      <c r="F36" s="119"/>
    </row>
    <row r="37" spans="1:6">
      <c r="A37" s="120"/>
      <c r="F37" s="316"/>
    </row>
    <row r="38" spans="1:6" ht="25.5">
      <c r="A38" s="140" t="s">
        <v>3608</v>
      </c>
      <c r="D38" s="265" t="s">
        <v>2894</v>
      </c>
      <c r="E38" s="266"/>
      <c r="F38" s="267"/>
    </row>
    <row r="39" spans="1:6">
      <c r="A39" s="131"/>
    </row>
    <row r="40" spans="1:6">
      <c r="A40" s="86"/>
    </row>
    <row r="41" spans="1:6">
      <c r="A41" s="131"/>
    </row>
    <row r="42" spans="1:6">
      <c r="A42" s="142"/>
      <c r="B42" s="122"/>
      <c r="C42" s="121"/>
      <c r="D42" s="309"/>
      <c r="E42" s="309"/>
      <c r="F42" s="309"/>
    </row>
    <row r="43" spans="1:6">
      <c r="A43" s="86"/>
      <c r="D43" s="310"/>
      <c r="E43" s="311"/>
      <c r="F43" s="311"/>
    </row>
    <row r="44" spans="1:6">
      <c r="A44" s="143" t="s">
        <v>8</v>
      </c>
      <c r="D44" s="143" t="s">
        <v>7</v>
      </c>
    </row>
    <row r="45" spans="1:6">
      <c r="A45" s="131"/>
    </row>
    <row r="46" spans="1:6">
      <c r="A46" s="131"/>
    </row>
    <row r="47" spans="1:6">
      <c r="A47" s="131"/>
    </row>
    <row r="48" spans="1:6">
      <c r="A48" s="142"/>
      <c r="B48" s="122"/>
      <c r="D48" s="122"/>
      <c r="E48" s="122"/>
      <c r="F48" s="122"/>
    </row>
    <row r="49" spans="1:4" s="126" customFormat="1" ht="17.100000000000001" customHeight="1">
      <c r="A49" s="131" t="s">
        <v>2948</v>
      </c>
      <c r="B49" s="125"/>
      <c r="D49" s="126" t="s">
        <v>3</v>
      </c>
    </row>
    <row r="50" spans="1:4">
      <c r="A50" s="131"/>
      <c r="D50" s="111" t="s">
        <v>2</v>
      </c>
    </row>
    <row r="51" spans="1:4">
      <c r="A51" s="123"/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4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1-000000000000}">
  <sheetPr codeName="Sheet409"/>
  <dimension ref="A1:F52"/>
  <sheetViews>
    <sheetView view="pageBreakPreview" zoomScale="115" zoomScaleNormal="100" zoomScaleSheetLayoutView="115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A9" s="111" t="s">
        <v>3693</v>
      </c>
      <c r="D9" s="112" t="s">
        <v>1134</v>
      </c>
      <c r="E9" s="111" t="s">
        <v>3690</v>
      </c>
    </row>
    <row r="10" spans="1:6">
      <c r="A10" s="111" t="s">
        <v>3694</v>
      </c>
      <c r="D10" s="112" t="s">
        <v>1180</v>
      </c>
      <c r="E10" s="143" t="s">
        <v>3692</v>
      </c>
    </row>
    <row r="11" spans="1:6">
      <c r="A11" s="111" t="s">
        <v>3695</v>
      </c>
      <c r="D11" s="112" t="s">
        <v>1181</v>
      </c>
      <c r="E11" s="132" t="s">
        <v>1094</v>
      </c>
    </row>
    <row r="12" spans="1:6">
      <c r="A12" s="111" t="s">
        <v>1336</v>
      </c>
      <c r="D12" s="112" t="s">
        <v>1182</v>
      </c>
      <c r="E12" s="111" t="s">
        <v>3691</v>
      </c>
    </row>
    <row r="13" spans="1:6">
      <c r="A13" s="111" t="s">
        <v>1257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3696</v>
      </c>
    </row>
    <row r="19" spans="1:6">
      <c r="C19" s="2"/>
    </row>
    <row r="20" spans="1:6">
      <c r="A20" s="116" t="s">
        <v>3697</v>
      </c>
      <c r="B20" s="120" t="s">
        <v>3698</v>
      </c>
      <c r="C20" s="111" t="s">
        <v>3699</v>
      </c>
      <c r="F20" s="111">
        <v>4800</v>
      </c>
    </row>
    <row r="21" spans="1:6">
      <c r="C21" s="120" t="s">
        <v>3700</v>
      </c>
      <c r="F21" s="111">
        <v>200</v>
      </c>
    </row>
    <row r="25" spans="1:6">
      <c r="A25" s="148"/>
    </row>
    <row r="26" spans="1:6">
      <c r="C26" s="120"/>
    </row>
    <row r="27" spans="1:6">
      <c r="C27" s="120"/>
    </row>
    <row r="28" spans="1:6">
      <c r="C28" s="2"/>
    </row>
    <row r="33" spans="1:6" ht="13.5" thickBot="1">
      <c r="F33" s="127">
        <f>SUM(F19:F32)</f>
        <v>5000</v>
      </c>
    </row>
    <row r="34" spans="1:6" ht="13.5" thickTop="1"/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Five Thousand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26" t="s">
        <v>10</v>
      </c>
      <c r="D37" s="265" t="s">
        <v>2894</v>
      </c>
      <c r="E37" s="266"/>
      <c r="F37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4:4">
      <c r="D49" s="111" t="s">
        <v>2</v>
      </c>
    </row>
    <row r="51" spans="4:4">
      <c r="D51" s="2" t="s">
        <v>1</v>
      </c>
    </row>
    <row r="52" spans="4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4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1-000000000000}">
  <sheetPr codeName="Sheet445"/>
  <dimension ref="A1:I57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3.85546875" style="227" customWidth="1"/>
    <col min="3" max="3" width="1.85546875" style="227" customWidth="1"/>
    <col min="4" max="4" width="19.85546875" style="227" customWidth="1"/>
    <col min="5" max="5" width="1.42578125" style="227" customWidth="1"/>
    <col min="6" max="6" width="16.42578125" style="227" customWidth="1"/>
    <col min="7" max="7" width="8.140625" style="227" customWidth="1"/>
    <col min="8" max="8" width="13.28515625" style="227" customWidth="1"/>
    <col min="9" max="9" width="16.140625" style="209" customWidth="1"/>
    <col min="10" max="16384" width="9.140625" style="209"/>
  </cols>
  <sheetData>
    <row r="1" spans="1:9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9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9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9" ht="12.75" customHeight="1">
      <c r="A4" s="532" t="s">
        <v>1684</v>
      </c>
      <c r="B4" s="532"/>
      <c r="C4" s="532"/>
      <c r="D4" s="532"/>
      <c r="E4" s="532"/>
      <c r="F4" s="532"/>
      <c r="G4" s="532"/>
      <c r="H4" s="532"/>
    </row>
    <row r="5" spans="1:9" ht="12.75" customHeight="1">
      <c r="A5" s="131"/>
      <c r="B5" s="131"/>
      <c r="C5" s="488"/>
      <c r="D5" s="131"/>
      <c r="E5" s="488"/>
      <c r="F5" s="131"/>
      <c r="G5" s="131"/>
      <c r="H5" s="131"/>
    </row>
    <row r="6" spans="1:9" ht="12.75" customHeight="1">
      <c r="A6" s="131"/>
      <c r="B6" s="131"/>
      <c r="C6" s="488"/>
      <c r="D6" s="131"/>
      <c r="E6" s="488"/>
      <c r="F6" s="131"/>
      <c r="G6" s="131"/>
      <c r="H6" s="131"/>
    </row>
    <row r="7" spans="1:9" ht="12.75" customHeight="1">
      <c r="A7" s="131"/>
      <c r="B7" s="131"/>
      <c r="C7" s="488"/>
      <c r="D7" s="131"/>
      <c r="E7" s="488"/>
      <c r="F7" s="131"/>
      <c r="G7" s="131"/>
      <c r="H7" s="131"/>
    </row>
    <row r="8" spans="1:9" s="211" customFormat="1" ht="12.75" customHeight="1">
      <c r="A8" s="147" t="s">
        <v>24</v>
      </c>
      <c r="B8" s="147"/>
      <c r="C8" s="490"/>
      <c r="D8" s="147"/>
      <c r="E8" s="490"/>
      <c r="F8" s="210" t="s">
        <v>23</v>
      </c>
      <c r="G8" s="147"/>
      <c r="H8" s="147"/>
    </row>
    <row r="9" spans="1:9" s="211" customFormat="1" ht="12.75" customHeight="1">
      <c r="A9" s="147"/>
      <c r="B9" s="147"/>
      <c r="C9" s="490"/>
      <c r="D9" s="147"/>
      <c r="E9" s="490"/>
      <c r="F9" s="212" t="s">
        <v>1723</v>
      </c>
      <c r="G9" s="483" t="s">
        <v>6654</v>
      </c>
      <c r="H9" s="131"/>
    </row>
    <row r="10" spans="1:9" s="211" customFormat="1" ht="12.75" customHeight="1">
      <c r="A10" s="147" t="s">
        <v>3779</v>
      </c>
      <c r="B10" s="147"/>
      <c r="C10" s="490"/>
      <c r="D10" s="147"/>
      <c r="E10" s="490"/>
      <c r="F10" s="212" t="s">
        <v>1340</v>
      </c>
      <c r="G10" s="486" t="s">
        <v>6646</v>
      </c>
      <c r="H10" s="131"/>
    </row>
    <row r="11" spans="1:9" s="211" customFormat="1" ht="12.75" customHeight="1">
      <c r="A11" s="147" t="s">
        <v>3780</v>
      </c>
      <c r="B11" s="147"/>
      <c r="C11" s="490"/>
      <c r="D11" s="147"/>
      <c r="E11" s="490"/>
      <c r="F11" s="212" t="s">
        <v>1341</v>
      </c>
      <c r="G11" s="483" t="s">
        <v>1094</v>
      </c>
      <c r="H11" s="131"/>
    </row>
    <row r="12" spans="1:9" s="211" customFormat="1" ht="12.75" customHeight="1">
      <c r="A12" s="147" t="s">
        <v>1757</v>
      </c>
      <c r="B12" s="147"/>
      <c r="C12" s="490"/>
      <c r="D12" s="147"/>
      <c r="E12" s="490"/>
      <c r="F12" s="212" t="s">
        <v>2136</v>
      </c>
      <c r="G12" s="483" t="s">
        <v>6655</v>
      </c>
      <c r="H12" s="131"/>
    </row>
    <row r="13" spans="1:9" s="211" customFormat="1" ht="12.75" customHeight="1">
      <c r="A13" s="147" t="s">
        <v>2141</v>
      </c>
      <c r="B13" s="147"/>
      <c r="C13" s="490"/>
      <c r="D13" s="147"/>
      <c r="E13" s="490"/>
      <c r="F13" s="147"/>
      <c r="G13" s="483" t="s">
        <v>5914</v>
      </c>
      <c r="H13" s="147"/>
    </row>
    <row r="14" spans="1:9" s="211" customFormat="1" ht="12.75" customHeight="1">
      <c r="A14" s="147" t="s">
        <v>3781</v>
      </c>
      <c r="B14" s="147"/>
      <c r="C14" s="490"/>
      <c r="D14" s="147"/>
      <c r="E14" s="490"/>
      <c r="F14" s="147"/>
      <c r="G14" s="147"/>
      <c r="H14" s="147"/>
    </row>
    <row r="15" spans="1:9" s="213" customFormat="1" ht="12.75" customHeight="1">
      <c r="A15" s="147"/>
      <c r="B15" s="147"/>
      <c r="C15" s="490"/>
      <c r="D15" s="147"/>
      <c r="E15" s="490"/>
      <c r="F15" s="147"/>
      <c r="G15" s="147"/>
      <c r="H15" s="147"/>
    </row>
    <row r="16" spans="1:9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I16" s="214"/>
    </row>
    <row r="17" spans="1:9" s="213" customFormat="1" ht="12.75" customHeight="1">
      <c r="A17" s="215"/>
      <c r="B17" s="216"/>
      <c r="C17" s="216"/>
      <c r="D17" s="217"/>
      <c r="E17" s="217"/>
      <c r="F17" s="216"/>
      <c r="G17" s="218"/>
      <c r="H17" s="219"/>
      <c r="I17" s="214"/>
    </row>
    <row r="18" spans="1:9" s="213" customFormat="1" ht="12.75" customHeight="1">
      <c r="A18" s="281"/>
      <c r="B18" s="281"/>
      <c r="C18" s="281"/>
      <c r="D18" s="319" t="s">
        <v>4886</v>
      </c>
      <c r="E18" s="319"/>
      <c r="F18" s="145"/>
      <c r="G18" s="145"/>
      <c r="H18" s="145"/>
      <c r="I18" s="214"/>
    </row>
    <row r="19" spans="1:9" s="213" customFormat="1" ht="12.75" customHeight="1">
      <c r="A19" s="281"/>
      <c r="B19" s="281"/>
      <c r="C19" s="281"/>
      <c r="D19" s="145"/>
      <c r="E19" s="494"/>
      <c r="F19" s="143"/>
      <c r="G19" s="143"/>
      <c r="H19" s="321"/>
      <c r="I19" s="214"/>
    </row>
    <row r="20" spans="1:9" s="213" customFormat="1" ht="12.75" customHeight="1">
      <c r="A20" s="495" t="s">
        <v>6656</v>
      </c>
      <c r="B20" s="281" t="s">
        <v>6657</v>
      </c>
      <c r="C20" s="281"/>
      <c r="D20" s="145" t="s">
        <v>3782</v>
      </c>
      <c r="E20" s="494"/>
      <c r="F20" s="145"/>
      <c r="G20" s="145"/>
      <c r="H20" s="320">
        <v>3000</v>
      </c>
      <c r="I20" s="318"/>
    </row>
    <row r="21" spans="1:9" s="213" customFormat="1" ht="12.75" customHeight="1">
      <c r="A21" s="222"/>
      <c r="B21" s="281"/>
      <c r="C21" s="281"/>
      <c r="D21" s="145"/>
      <c r="E21" s="494"/>
      <c r="F21" s="211"/>
      <c r="G21" s="211"/>
      <c r="H21" s="322"/>
      <c r="I21" s="318"/>
    </row>
    <row r="22" spans="1:9" s="224" customFormat="1" ht="12.75" customHeight="1">
      <c r="A22" s="222"/>
      <c r="B22" s="281"/>
      <c r="C22" s="281"/>
      <c r="D22" s="147"/>
      <c r="E22" s="490"/>
      <c r="F22" s="147"/>
      <c r="G22" s="147"/>
      <c r="H22" s="322"/>
    </row>
    <row r="23" spans="1:9" s="224" customFormat="1" ht="12.75" customHeight="1">
      <c r="A23" s="222"/>
      <c r="B23" s="281"/>
      <c r="C23" s="281"/>
      <c r="D23" s="95"/>
      <c r="E23" s="95"/>
      <c r="F23" s="147"/>
      <c r="G23" s="147"/>
      <c r="H23" s="322"/>
    </row>
    <row r="24" spans="1:9" s="224" customFormat="1" ht="12.75" customHeight="1">
      <c r="A24" s="222"/>
      <c r="B24" s="281"/>
      <c r="C24" s="281"/>
      <c r="D24" s="147"/>
      <c r="E24" s="490"/>
      <c r="F24" s="147"/>
      <c r="G24" s="147"/>
      <c r="H24" s="322"/>
    </row>
    <row r="25" spans="1:9" s="224" customFormat="1" ht="12.75" customHeight="1">
      <c r="A25" s="222"/>
      <c r="B25" s="281"/>
      <c r="C25" s="281"/>
      <c r="D25" s="147"/>
      <c r="E25" s="490"/>
      <c r="F25" s="147"/>
      <c r="G25" s="147"/>
      <c r="H25" s="322"/>
    </row>
    <row r="26" spans="1:9" s="224" customFormat="1" ht="12.75" customHeight="1">
      <c r="A26" s="222"/>
      <c r="B26" s="281"/>
      <c r="C26" s="281"/>
      <c r="D26" s="147"/>
      <c r="E26" s="490"/>
      <c r="H26" s="322"/>
    </row>
    <row r="27" spans="1:9" s="227" customFormat="1" ht="12.75" customHeight="1">
      <c r="A27" s="281"/>
      <c r="B27" s="281"/>
      <c r="C27" s="281"/>
      <c r="D27" s="147"/>
      <c r="E27" s="490"/>
      <c r="F27" s="224"/>
      <c r="G27" s="224"/>
      <c r="H27" s="322"/>
    </row>
    <row r="28" spans="1:9" s="227" customFormat="1" ht="12.75" customHeight="1">
      <c r="D28" s="95"/>
      <c r="E28" s="95"/>
      <c r="F28" s="224"/>
      <c r="G28" s="224"/>
      <c r="H28" s="322"/>
    </row>
    <row r="29" spans="1:9" s="227" customFormat="1" ht="12.75" customHeight="1">
      <c r="A29" s="281"/>
      <c r="B29" s="281"/>
      <c r="C29" s="281"/>
      <c r="D29" s="147"/>
      <c r="E29" s="490"/>
      <c r="F29" s="224"/>
      <c r="G29" s="224"/>
      <c r="H29" s="322"/>
    </row>
    <row r="30" spans="1:9" s="227" customFormat="1" ht="12.75" customHeight="1">
      <c r="A30" s="281"/>
      <c r="B30" s="281"/>
      <c r="C30" s="281"/>
      <c r="D30" s="147"/>
      <c r="E30" s="490"/>
      <c r="F30" s="224"/>
      <c r="G30" s="224"/>
      <c r="H30" s="322"/>
    </row>
    <row r="31" spans="1:9" ht="12.75" customHeight="1">
      <c r="A31" s="222"/>
      <c r="B31" s="281"/>
      <c r="C31" s="281"/>
      <c r="D31" s="147"/>
      <c r="E31" s="490"/>
      <c r="H31" s="147"/>
    </row>
    <row r="32" spans="1:9" s="211" customFormat="1" ht="12.75" customHeight="1">
      <c r="A32" s="222"/>
      <c r="B32" s="281"/>
      <c r="C32" s="281"/>
      <c r="D32" s="147"/>
      <c r="E32" s="490"/>
      <c r="F32" s="147"/>
      <c r="G32" s="147"/>
      <c r="H32" s="147"/>
      <c r="I32" s="221"/>
    </row>
    <row r="33" spans="1:9" s="211" customFormat="1" ht="12.75" customHeight="1">
      <c r="A33" s="222"/>
      <c r="B33" s="281"/>
      <c r="C33" s="281"/>
      <c r="D33" s="147"/>
      <c r="E33" s="490"/>
      <c r="F33" s="147"/>
      <c r="G33" s="147"/>
      <c r="H33" s="147"/>
      <c r="I33" s="221"/>
    </row>
    <row r="34" spans="1:9" s="211" customFormat="1" ht="15.75" customHeight="1" thickBot="1">
      <c r="A34" s="229"/>
      <c r="B34" s="224"/>
      <c r="C34" s="224"/>
      <c r="D34" s="224"/>
      <c r="E34" s="224"/>
      <c r="F34" s="224"/>
      <c r="G34" s="224"/>
      <c r="H34" s="230">
        <f>SUM(H19:H32)</f>
        <v>3000</v>
      </c>
      <c r="I34" s="221"/>
    </row>
    <row r="35" spans="1:9" s="211" customFormat="1" ht="12.75" customHeight="1" thickTop="1">
      <c r="A35" s="229"/>
      <c r="B35" s="224"/>
      <c r="C35" s="224"/>
      <c r="D35" s="224"/>
      <c r="E35" s="224"/>
      <c r="F35" s="224"/>
      <c r="G35" s="224"/>
      <c r="H35" s="224"/>
      <c r="I35" s="221"/>
    </row>
    <row r="36" spans="1:9" ht="20.100000000000001" customHeight="1">
      <c r="A36" s="138" t="s">
        <v>1133</v>
      </c>
      <c r="B36" s="204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Thousand and NO/100 -----------</v>
      </c>
      <c r="C36" s="204"/>
      <c r="D36" s="231"/>
      <c r="E36" s="231"/>
      <c r="F36" s="231"/>
      <c r="G36" s="231"/>
      <c r="H36" s="231"/>
    </row>
    <row r="37" spans="1:9" ht="12.75" customHeight="1">
      <c r="A37" s="232"/>
    </row>
    <row r="38" spans="1:9" ht="27" customHeight="1">
      <c r="A38" s="131" t="s">
        <v>10</v>
      </c>
      <c r="B38" s="131"/>
      <c r="C38" s="488"/>
      <c r="D38" s="131"/>
      <c r="E38" s="488"/>
      <c r="F38" s="283" t="s">
        <v>2894</v>
      </c>
      <c r="G38" s="284"/>
      <c r="H38" s="285"/>
    </row>
    <row r="39" spans="1:9" ht="12.75" customHeight="1">
      <c r="A39" s="131"/>
      <c r="B39" s="131"/>
      <c r="C39" s="488"/>
      <c r="D39" s="131"/>
      <c r="E39" s="488"/>
      <c r="F39" s="131"/>
      <c r="G39" s="131"/>
      <c r="H39" s="131"/>
    </row>
    <row r="40" spans="1:9" ht="12.75" customHeight="1">
      <c r="A40" s="131"/>
      <c r="B40" s="131"/>
      <c r="C40" s="488"/>
      <c r="D40" s="131"/>
      <c r="E40" s="488"/>
      <c r="F40" s="131"/>
      <c r="G40" s="131"/>
      <c r="H40" s="131"/>
    </row>
    <row r="41" spans="1:9">
      <c r="A41" s="301"/>
      <c r="B41" s="131"/>
      <c r="C41" s="488"/>
      <c r="D41" s="131"/>
      <c r="E41" s="488"/>
      <c r="F41" s="291"/>
      <c r="G41" s="291"/>
      <c r="H41" s="291"/>
    </row>
    <row r="42" spans="1:9">
      <c r="A42" s="248"/>
      <c r="B42" s="142"/>
      <c r="C42" s="445"/>
      <c r="D42" s="131"/>
      <c r="E42" s="488"/>
      <c r="F42" s="286"/>
      <c r="G42" s="287"/>
      <c r="H42" s="287"/>
    </row>
    <row r="43" spans="1:9" ht="12.75" customHeight="1">
      <c r="A43" s="301"/>
      <c r="B43" s="301"/>
      <c r="C43" s="301"/>
      <c r="D43" s="131"/>
      <c r="E43" s="488"/>
      <c r="F43" s="131"/>
      <c r="G43" s="131"/>
      <c r="H43" s="144"/>
    </row>
    <row r="44" spans="1:9" ht="12.75" customHeight="1">
      <c r="A44" s="143" t="s">
        <v>8</v>
      </c>
      <c r="B44" s="131"/>
      <c r="C44" s="488"/>
      <c r="D44" s="493" t="s">
        <v>8</v>
      </c>
      <c r="E44" s="488"/>
      <c r="F44" s="143" t="s">
        <v>7</v>
      </c>
      <c r="G44" s="131"/>
      <c r="H44" s="131"/>
    </row>
    <row r="45" spans="1:9" ht="12.75" customHeight="1">
      <c r="A45" s="143"/>
      <c r="B45" s="131"/>
      <c r="C45" s="488"/>
      <c r="D45" s="493"/>
      <c r="E45" s="488"/>
      <c r="F45" s="131"/>
      <c r="G45" s="131"/>
      <c r="H45" s="131"/>
    </row>
    <row r="46" spans="1:9" ht="12.75" customHeight="1">
      <c r="A46" s="143"/>
      <c r="B46" s="131"/>
      <c r="C46" s="488"/>
      <c r="D46" s="493"/>
      <c r="E46" s="488"/>
      <c r="F46" s="131"/>
      <c r="G46" s="131"/>
      <c r="H46" s="131"/>
    </row>
    <row r="47" spans="1:9" s="211" customFormat="1" ht="12.75" customHeight="1">
      <c r="A47" s="143"/>
      <c r="B47" s="131"/>
      <c r="C47" s="488"/>
      <c r="D47" s="493"/>
      <c r="E47" s="488"/>
      <c r="F47" s="131"/>
      <c r="G47" s="147"/>
      <c r="H47" s="147"/>
    </row>
    <row r="48" spans="1:9" ht="12.75" customHeight="1">
      <c r="A48" s="248"/>
      <c r="B48" s="142"/>
      <c r="C48" s="445"/>
      <c r="D48" s="248"/>
      <c r="E48" s="488"/>
      <c r="F48" s="142"/>
      <c r="G48" s="142"/>
      <c r="H48" s="142"/>
    </row>
    <row r="49" spans="1:8" ht="15" customHeight="1">
      <c r="A49" s="143" t="s">
        <v>2948</v>
      </c>
      <c r="B49" s="146"/>
      <c r="C49" s="146"/>
      <c r="D49" s="493" t="s">
        <v>2948</v>
      </c>
      <c r="E49" s="490"/>
      <c r="F49" s="147" t="s">
        <v>3</v>
      </c>
      <c r="G49" s="131"/>
      <c r="H49" s="131"/>
    </row>
    <row r="50" spans="1:8" ht="12.75" customHeight="1">
      <c r="A50" s="143"/>
      <c r="B50" s="131"/>
      <c r="C50" s="488"/>
      <c r="D50" s="131"/>
      <c r="E50" s="488"/>
      <c r="F50" s="131" t="s">
        <v>2</v>
      </c>
      <c r="G50" s="131"/>
      <c r="H50" s="131"/>
    </row>
    <row r="51" spans="1:8" ht="12.75" customHeight="1">
      <c r="A51" s="131"/>
      <c r="B51" s="131"/>
      <c r="C51" s="488"/>
      <c r="D51" s="131"/>
      <c r="E51" s="488"/>
      <c r="F51" s="131"/>
      <c r="G51" s="131"/>
      <c r="H51" s="131"/>
    </row>
    <row r="52" spans="1:8" ht="12.75" customHeight="1">
      <c r="A52" s="131"/>
      <c r="B52" s="131"/>
      <c r="C52" s="488"/>
      <c r="D52" s="131"/>
      <c r="E52" s="488"/>
      <c r="F52" s="110" t="s">
        <v>1</v>
      </c>
      <c r="G52" s="131"/>
      <c r="H52" s="131"/>
    </row>
    <row r="53" spans="1:8" ht="12.75" customHeight="1">
      <c r="A53" s="131"/>
      <c r="B53" s="131"/>
      <c r="C53" s="488"/>
      <c r="D53" s="131"/>
      <c r="E53" s="488"/>
      <c r="F53" s="110" t="s">
        <v>0</v>
      </c>
      <c r="G53" s="131"/>
      <c r="H53" s="131"/>
    </row>
    <row r="54" spans="1:8" ht="12.75" customHeight="1">
      <c r="A54" s="131"/>
      <c r="B54" s="131"/>
      <c r="C54" s="488"/>
      <c r="D54" s="131"/>
      <c r="E54" s="488"/>
      <c r="F54" s="131"/>
      <c r="G54" s="131"/>
      <c r="H54" s="131"/>
    </row>
    <row r="55" spans="1:8" ht="12.75" customHeight="1">
      <c r="A55" s="131"/>
      <c r="B55" s="131"/>
      <c r="C55" s="488"/>
      <c r="D55" s="131"/>
      <c r="E55" s="488"/>
      <c r="F55" s="131"/>
      <c r="G55" s="131"/>
      <c r="H55" s="131"/>
    </row>
    <row r="56" spans="1:8">
      <c r="A56" s="131"/>
      <c r="B56" s="131"/>
      <c r="C56" s="488"/>
      <c r="D56" s="131"/>
      <c r="E56" s="488"/>
      <c r="F56" s="131"/>
      <c r="G56" s="131"/>
      <c r="H56" s="131"/>
    </row>
    <row r="57" spans="1:8">
      <c r="A57" s="131"/>
      <c r="B57" s="131"/>
      <c r="C57" s="488"/>
      <c r="D57" s="131"/>
      <c r="E57" s="488"/>
      <c r="F57" s="131"/>
      <c r="G57" s="131"/>
      <c r="H57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4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1-000000000000}">
  <sheetPr codeName="Sheet446"/>
  <dimension ref="A1:I59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3.85546875" style="227" customWidth="1"/>
    <col min="3" max="3" width="1.140625" style="227" customWidth="1"/>
    <col min="4" max="4" width="19.85546875" style="227" customWidth="1"/>
    <col min="5" max="5" width="1" style="227" customWidth="1"/>
    <col min="6" max="6" width="16.42578125" style="227" customWidth="1"/>
    <col min="7" max="7" width="8.140625" style="227" customWidth="1"/>
    <col min="8" max="8" width="13.28515625" style="227" customWidth="1"/>
    <col min="9" max="9" width="16.140625" style="209" customWidth="1"/>
    <col min="10" max="16384" width="9.140625" style="209"/>
  </cols>
  <sheetData>
    <row r="1" spans="1:9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9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9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9" ht="12.75" customHeight="1">
      <c r="A4" s="532" t="s">
        <v>1684</v>
      </c>
      <c r="B4" s="532"/>
      <c r="C4" s="532"/>
      <c r="D4" s="532"/>
      <c r="E4" s="532"/>
      <c r="F4" s="532"/>
      <c r="G4" s="532"/>
      <c r="H4" s="532"/>
    </row>
    <row r="5" spans="1:9" ht="12.75" customHeight="1">
      <c r="A5" s="131"/>
      <c r="B5" s="131"/>
      <c r="C5" s="488"/>
      <c r="D5" s="131"/>
      <c r="E5" s="488"/>
      <c r="F5" s="131"/>
      <c r="G5" s="131"/>
      <c r="H5" s="131"/>
    </row>
    <row r="6" spans="1:9" ht="12.75" customHeight="1">
      <c r="A6" s="131"/>
      <c r="B6" s="131"/>
      <c r="C6" s="488"/>
      <c r="D6" s="131"/>
      <c r="E6" s="488"/>
      <c r="F6" s="131"/>
      <c r="G6" s="131"/>
      <c r="H6" s="131"/>
    </row>
    <row r="7" spans="1:9" ht="12.75" customHeight="1">
      <c r="A7" s="131"/>
      <c r="B7" s="131"/>
      <c r="C7" s="488"/>
      <c r="D7" s="131"/>
      <c r="E7" s="488"/>
      <c r="F7" s="131"/>
      <c r="G7" s="131"/>
      <c r="H7" s="131"/>
    </row>
    <row r="8" spans="1:9" s="211" customFormat="1" ht="12.75" customHeight="1">
      <c r="A8" s="147" t="s">
        <v>24</v>
      </c>
      <c r="B8" s="147"/>
      <c r="C8" s="490"/>
      <c r="D8" s="147"/>
      <c r="E8" s="490"/>
      <c r="F8" s="210" t="s">
        <v>23</v>
      </c>
      <c r="G8" s="147"/>
      <c r="H8" s="147"/>
    </row>
    <row r="9" spans="1:9" s="211" customFormat="1" ht="12.75" customHeight="1">
      <c r="A9" s="147"/>
      <c r="B9" s="147"/>
      <c r="C9" s="490"/>
      <c r="D9" s="147"/>
      <c r="E9" s="490"/>
      <c r="F9" s="212" t="s">
        <v>1723</v>
      </c>
      <c r="G9" s="131" t="s">
        <v>6889</v>
      </c>
      <c r="H9" s="131"/>
    </row>
    <row r="10" spans="1:9" s="211" customFormat="1" ht="12.75" customHeight="1">
      <c r="A10" s="147" t="s">
        <v>3783</v>
      </c>
      <c r="B10" s="147"/>
      <c r="C10" s="490"/>
      <c r="D10" s="147"/>
      <c r="E10" s="490"/>
      <c r="F10" s="212" t="s">
        <v>1340</v>
      </c>
      <c r="G10" s="143" t="s">
        <v>6861</v>
      </c>
      <c r="H10" s="131"/>
    </row>
    <row r="11" spans="1:9" s="211" customFormat="1" ht="12.75" customHeight="1">
      <c r="A11" s="147" t="s">
        <v>6891</v>
      </c>
      <c r="B11" s="147"/>
      <c r="C11" s="490"/>
      <c r="D11" s="147"/>
      <c r="E11" s="490"/>
      <c r="F11" s="212" t="s">
        <v>1341</v>
      </c>
      <c r="G11" s="132" t="s">
        <v>1094</v>
      </c>
      <c r="H11" s="131"/>
    </row>
    <row r="12" spans="1:9" s="211" customFormat="1" ht="12.75" customHeight="1">
      <c r="A12" s="147" t="s">
        <v>6892</v>
      </c>
      <c r="B12" s="147"/>
      <c r="C12" s="490"/>
      <c r="D12" s="147"/>
      <c r="E12" s="490"/>
      <c r="F12" s="212" t="s">
        <v>2136</v>
      </c>
      <c r="G12" s="140" t="s">
        <v>6890</v>
      </c>
      <c r="H12" s="131"/>
    </row>
    <row r="13" spans="1:9" s="211" customFormat="1" ht="12.75" customHeight="1">
      <c r="A13" s="147" t="s">
        <v>6893</v>
      </c>
      <c r="B13" s="147"/>
      <c r="C13" s="490"/>
      <c r="D13" s="147"/>
      <c r="E13" s="490"/>
      <c r="F13" s="147"/>
      <c r="G13" s="131" t="s">
        <v>6182</v>
      </c>
      <c r="H13" s="147"/>
    </row>
    <row r="14" spans="1:9" s="211" customFormat="1" ht="12.75" customHeight="1">
      <c r="A14" s="147"/>
      <c r="B14" s="147"/>
      <c r="C14" s="490"/>
      <c r="D14" s="147"/>
      <c r="E14" s="490"/>
      <c r="F14" s="147"/>
      <c r="G14" s="147"/>
      <c r="H14" s="147"/>
    </row>
    <row r="15" spans="1:9" s="213" customFormat="1" ht="12.75" customHeight="1">
      <c r="A15" s="147"/>
      <c r="B15" s="147"/>
      <c r="C15" s="490"/>
      <c r="D15" s="147"/>
      <c r="E15" s="490"/>
      <c r="F15" s="147"/>
      <c r="G15" s="147"/>
      <c r="H15" s="147"/>
    </row>
    <row r="16" spans="1:9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I16" s="214"/>
    </row>
    <row r="17" spans="1:9" s="213" customFormat="1" ht="12.75" customHeight="1">
      <c r="A17" s="215"/>
      <c r="B17" s="216"/>
      <c r="C17" s="216"/>
      <c r="D17" s="217"/>
      <c r="E17" s="217"/>
      <c r="F17" s="216"/>
      <c r="G17" s="218"/>
      <c r="H17" s="219"/>
      <c r="I17" s="214"/>
    </row>
    <row r="18" spans="1:9" s="213" customFormat="1" ht="12.75" customHeight="1">
      <c r="A18" s="281"/>
      <c r="B18" s="281"/>
      <c r="C18" s="281"/>
      <c r="D18" s="319" t="s">
        <v>6894</v>
      </c>
      <c r="E18" s="319"/>
      <c r="F18" s="145"/>
      <c r="G18" s="145"/>
      <c r="H18" s="145"/>
      <c r="I18" s="214"/>
    </row>
    <row r="19" spans="1:9" s="213" customFormat="1" ht="12.75" customHeight="1">
      <c r="A19" s="281"/>
      <c r="B19" s="281"/>
      <c r="C19" s="281"/>
      <c r="D19" s="145"/>
      <c r="E19" s="494"/>
      <c r="F19" s="143"/>
      <c r="G19" s="143"/>
      <c r="H19" s="321"/>
      <c r="I19" s="214"/>
    </row>
    <row r="20" spans="1:9" s="213" customFormat="1" ht="12.75" customHeight="1">
      <c r="A20" s="495" t="s">
        <v>6867</v>
      </c>
      <c r="B20" s="281" t="s">
        <v>6895</v>
      </c>
      <c r="C20" s="281"/>
      <c r="D20" s="145" t="s">
        <v>6896</v>
      </c>
      <c r="E20" s="494"/>
      <c r="F20" s="145"/>
      <c r="G20" s="145"/>
      <c r="H20" s="320">
        <f>100*25</f>
        <v>2500</v>
      </c>
      <c r="I20" s="318"/>
    </row>
    <row r="21" spans="1:9" s="213" customFormat="1" ht="12.75" customHeight="1">
      <c r="A21" s="222"/>
      <c r="B21" s="281"/>
      <c r="C21" s="281"/>
      <c r="D21" s="145"/>
      <c r="E21" s="494"/>
      <c r="F21" s="211"/>
      <c r="G21" s="211"/>
      <c r="H21" s="322"/>
      <c r="I21" s="318"/>
    </row>
    <row r="22" spans="1:9" s="224" customFormat="1" ht="12.75" customHeight="1">
      <c r="A22" s="222"/>
      <c r="B22" s="281"/>
      <c r="C22" s="281"/>
      <c r="D22" s="147"/>
      <c r="E22" s="490"/>
      <c r="F22" s="147"/>
      <c r="G22" s="147"/>
      <c r="H22" s="322"/>
    </row>
    <row r="23" spans="1:9" s="224" customFormat="1" ht="12.75" customHeight="1">
      <c r="A23" s="222"/>
      <c r="B23" s="281"/>
      <c r="C23" s="281"/>
      <c r="D23" s="95"/>
      <c r="E23" s="95"/>
      <c r="F23" s="147"/>
      <c r="G23" s="147"/>
      <c r="H23" s="322"/>
    </row>
    <row r="24" spans="1:9" s="224" customFormat="1" ht="12.75" customHeight="1">
      <c r="A24" s="222"/>
      <c r="B24" s="281"/>
      <c r="C24" s="281"/>
      <c r="D24" s="147"/>
      <c r="E24" s="490"/>
      <c r="F24" s="147"/>
      <c r="G24" s="147"/>
      <c r="H24" s="322"/>
    </row>
    <row r="25" spans="1:9" s="224" customFormat="1" ht="12.75" customHeight="1">
      <c r="A25" s="222"/>
      <c r="B25" s="281"/>
      <c r="C25" s="281"/>
      <c r="D25" s="147"/>
      <c r="E25" s="490"/>
      <c r="F25" s="147"/>
      <c r="G25" s="147"/>
      <c r="H25" s="322"/>
    </row>
    <row r="26" spans="1:9" s="224" customFormat="1" ht="12.75" customHeight="1">
      <c r="A26" s="222"/>
      <c r="B26" s="281"/>
      <c r="C26" s="281"/>
      <c r="D26" s="147"/>
      <c r="E26" s="490"/>
      <c r="H26" s="322"/>
    </row>
    <row r="27" spans="1:9" s="227" customFormat="1" ht="12.75" customHeight="1">
      <c r="A27" s="281"/>
      <c r="B27" s="281"/>
      <c r="C27" s="281"/>
      <c r="D27" s="147"/>
      <c r="E27" s="490"/>
      <c r="F27" s="224"/>
      <c r="G27" s="224"/>
      <c r="H27" s="322"/>
    </row>
    <row r="28" spans="1:9" s="227" customFormat="1" ht="12.75" customHeight="1">
      <c r="D28" s="95"/>
      <c r="E28" s="95"/>
      <c r="F28" s="224"/>
      <c r="G28" s="224"/>
      <c r="H28" s="322"/>
    </row>
    <row r="29" spans="1:9" s="227" customFormat="1" ht="12.75" customHeight="1">
      <c r="A29" s="281"/>
      <c r="B29" s="281"/>
      <c r="C29" s="281"/>
      <c r="D29" s="147"/>
      <c r="E29" s="490"/>
      <c r="F29" s="224"/>
      <c r="G29" s="224"/>
      <c r="H29" s="322"/>
    </row>
    <row r="30" spans="1:9" s="227" customFormat="1" ht="12.75" customHeight="1">
      <c r="A30" s="281"/>
      <c r="B30" s="281"/>
      <c r="C30" s="281"/>
      <c r="D30" s="147"/>
      <c r="E30" s="490"/>
      <c r="F30" s="224"/>
      <c r="G30" s="224"/>
      <c r="H30" s="322"/>
    </row>
    <row r="31" spans="1:9" s="227" customFormat="1" ht="12.75" customHeight="1">
      <c r="A31" s="281"/>
      <c r="B31" s="281"/>
      <c r="C31" s="281"/>
      <c r="D31" s="147"/>
      <c r="E31" s="490"/>
      <c r="F31" s="224"/>
      <c r="G31" s="224"/>
      <c r="H31" s="322"/>
    </row>
    <row r="32" spans="1:9" ht="12.75" customHeight="1">
      <c r="A32" s="222"/>
      <c r="B32" s="281"/>
      <c r="C32" s="281"/>
      <c r="D32" s="147"/>
      <c r="E32" s="490"/>
      <c r="H32" s="147"/>
    </row>
    <row r="33" spans="1:9" s="211" customFormat="1" ht="12.75" customHeight="1">
      <c r="A33" s="222"/>
      <c r="B33" s="281"/>
      <c r="C33" s="281"/>
      <c r="D33" s="147"/>
      <c r="E33" s="490"/>
      <c r="F33" s="147"/>
      <c r="G33" s="147"/>
      <c r="H33" s="147"/>
      <c r="I33" s="221"/>
    </row>
    <row r="34" spans="1:9" s="211" customFormat="1" ht="12.75" customHeight="1">
      <c r="A34" s="222"/>
      <c r="B34" s="281"/>
      <c r="C34" s="281"/>
      <c r="D34" s="147"/>
      <c r="E34" s="490"/>
      <c r="F34" s="147"/>
      <c r="G34" s="147"/>
      <c r="H34" s="147"/>
      <c r="I34" s="221"/>
    </row>
    <row r="35" spans="1:9" s="211" customFormat="1" ht="15.75" customHeight="1" thickBot="1">
      <c r="A35" s="229"/>
      <c r="B35" s="224"/>
      <c r="C35" s="224"/>
      <c r="D35" s="224"/>
      <c r="E35" s="224"/>
      <c r="F35" s="224"/>
      <c r="G35" s="224"/>
      <c r="H35" s="230">
        <f>SUM(H19:H33)</f>
        <v>2500</v>
      </c>
      <c r="I35" s="221"/>
    </row>
    <row r="36" spans="1:9" s="211" customFormat="1" ht="12.75" customHeight="1" thickTop="1">
      <c r="A36" s="229"/>
      <c r="B36" s="224"/>
      <c r="C36" s="224"/>
      <c r="D36" s="224"/>
      <c r="E36" s="224"/>
      <c r="F36" s="224"/>
      <c r="G36" s="224"/>
      <c r="H36" s="224"/>
      <c r="I36" s="221"/>
    </row>
    <row r="37" spans="1:9" ht="20.100000000000001" customHeight="1">
      <c r="A37" s="138" t="s">
        <v>1133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Thousand Five Hundred and NO/100 -----------</v>
      </c>
      <c r="C37" s="204"/>
      <c r="D37" s="231"/>
      <c r="E37" s="231"/>
      <c r="F37" s="231"/>
      <c r="G37" s="231"/>
      <c r="H37" s="231"/>
    </row>
    <row r="38" spans="1:9" ht="12.75" customHeight="1">
      <c r="A38" s="232"/>
    </row>
    <row r="39" spans="1:9" ht="27" customHeight="1">
      <c r="A39" s="131" t="s">
        <v>10</v>
      </c>
      <c r="B39" s="131"/>
      <c r="C39" s="488"/>
      <c r="D39" s="131"/>
      <c r="E39" s="488"/>
      <c r="F39" s="283" t="s">
        <v>2894</v>
      </c>
      <c r="G39" s="284"/>
      <c r="H39" s="285"/>
    </row>
    <row r="40" spans="1:9" ht="12.75" customHeight="1">
      <c r="A40" s="131"/>
      <c r="B40" s="131"/>
      <c r="C40" s="488"/>
      <c r="D40" s="131"/>
      <c r="E40" s="488"/>
      <c r="F40" s="131"/>
      <c r="G40" s="131"/>
      <c r="H40" s="131"/>
    </row>
    <row r="41" spans="1:9" ht="12.75" customHeight="1">
      <c r="A41" s="131"/>
      <c r="B41" s="131"/>
      <c r="C41" s="488"/>
      <c r="D41" s="131"/>
      <c r="E41" s="488"/>
      <c r="F41" s="131"/>
      <c r="G41" s="131"/>
      <c r="H41" s="131"/>
    </row>
    <row r="42" spans="1:9">
      <c r="A42" s="301"/>
      <c r="B42" s="131"/>
      <c r="C42" s="488"/>
      <c r="D42" s="131"/>
      <c r="E42" s="488"/>
      <c r="F42" s="291"/>
      <c r="G42" s="291"/>
      <c r="H42" s="291"/>
    </row>
    <row r="43" spans="1:9">
      <c r="A43" s="248"/>
      <c r="B43" s="142"/>
      <c r="C43" s="445"/>
      <c r="D43" s="131"/>
      <c r="E43" s="488"/>
      <c r="F43" s="286"/>
      <c r="G43" s="287"/>
      <c r="H43" s="287"/>
    </row>
    <row r="44" spans="1:9" ht="12.75" customHeight="1">
      <c r="A44" s="301"/>
      <c r="B44" s="301"/>
      <c r="C44" s="301"/>
      <c r="D44" s="131"/>
      <c r="E44" s="488"/>
      <c r="F44" s="131"/>
      <c r="G44" s="131"/>
      <c r="H44" s="144"/>
    </row>
    <row r="45" spans="1:9" ht="12.75" customHeight="1">
      <c r="A45" s="143" t="s">
        <v>8</v>
      </c>
      <c r="B45" s="131"/>
      <c r="C45" s="488"/>
      <c r="D45" s="493" t="s">
        <v>8</v>
      </c>
      <c r="E45" s="488"/>
      <c r="F45" s="143" t="s">
        <v>7</v>
      </c>
      <c r="G45" s="131"/>
      <c r="H45" s="131"/>
    </row>
    <row r="46" spans="1:9" ht="12.75" customHeight="1">
      <c r="A46" s="209"/>
      <c r="B46" s="131"/>
      <c r="C46" s="488"/>
      <c r="D46" s="209"/>
      <c r="E46" s="488"/>
      <c r="F46" s="209"/>
      <c r="G46" s="131"/>
      <c r="H46" s="131"/>
    </row>
    <row r="47" spans="1:9" ht="12.75" customHeight="1">
      <c r="A47" s="143"/>
      <c r="B47" s="131"/>
      <c r="C47" s="488"/>
      <c r="D47" s="493"/>
      <c r="E47" s="488"/>
      <c r="F47" s="131"/>
      <c r="G47" s="131"/>
      <c r="H47" s="131"/>
    </row>
    <row r="48" spans="1:9" ht="12.75" customHeight="1">
      <c r="A48" s="143"/>
      <c r="B48" s="131"/>
      <c r="C48" s="488"/>
      <c r="D48" s="493"/>
      <c r="E48" s="488"/>
      <c r="F48" s="131"/>
      <c r="G48" s="131"/>
      <c r="H48" s="131"/>
    </row>
    <row r="49" spans="1:8" s="211" customFormat="1" ht="12.75" customHeight="1">
      <c r="A49" s="143"/>
      <c r="B49" s="131"/>
      <c r="C49" s="488"/>
      <c r="D49" s="493"/>
      <c r="E49" s="488"/>
      <c r="F49" s="131"/>
      <c r="G49" s="147"/>
      <c r="H49" s="147"/>
    </row>
    <row r="50" spans="1:8" ht="12.75" customHeight="1">
      <c r="A50" s="248"/>
      <c r="B50" s="142"/>
      <c r="C50" s="445"/>
      <c r="D50" s="248"/>
      <c r="E50" s="488"/>
      <c r="F50" s="142"/>
      <c r="G50" s="142"/>
      <c r="H50" s="142"/>
    </row>
    <row r="51" spans="1:8" ht="15" customHeight="1">
      <c r="A51" s="143" t="s">
        <v>2948</v>
      </c>
      <c r="B51" s="146"/>
      <c r="C51" s="146"/>
      <c r="D51" s="493" t="s">
        <v>103</v>
      </c>
      <c r="E51" s="490"/>
      <c r="F51" s="147" t="s">
        <v>3</v>
      </c>
      <c r="G51" s="131"/>
      <c r="H51" s="131"/>
    </row>
    <row r="52" spans="1:8" ht="12.75" customHeight="1">
      <c r="A52" s="143"/>
      <c r="B52" s="131"/>
      <c r="C52" s="488"/>
      <c r="D52" s="131"/>
      <c r="E52" s="488"/>
      <c r="F52" s="131" t="s">
        <v>2</v>
      </c>
      <c r="G52" s="131"/>
      <c r="H52" s="131"/>
    </row>
    <row r="53" spans="1:8" ht="12.75" customHeight="1">
      <c r="A53" s="131"/>
      <c r="B53" s="131"/>
      <c r="C53" s="488"/>
      <c r="D53" s="131"/>
      <c r="E53" s="488"/>
      <c r="F53" s="131"/>
      <c r="G53" s="131"/>
      <c r="H53" s="131"/>
    </row>
    <row r="54" spans="1:8" ht="12.75" customHeight="1">
      <c r="A54" s="131"/>
      <c r="B54" s="131"/>
      <c r="C54" s="488"/>
      <c r="D54" s="131"/>
      <c r="E54" s="488"/>
      <c r="F54" s="110" t="s">
        <v>1</v>
      </c>
      <c r="G54" s="131"/>
      <c r="H54" s="131"/>
    </row>
    <row r="55" spans="1:8" ht="12.75" customHeight="1">
      <c r="A55" s="131"/>
      <c r="B55" s="131"/>
      <c r="C55" s="488"/>
      <c r="D55" s="131"/>
      <c r="E55" s="488"/>
      <c r="F55" s="110" t="s">
        <v>0</v>
      </c>
      <c r="G55" s="131"/>
      <c r="H55" s="131"/>
    </row>
    <row r="56" spans="1:8" ht="12.75" customHeight="1">
      <c r="A56" s="131"/>
      <c r="B56" s="131"/>
      <c r="C56" s="488"/>
      <c r="D56" s="131"/>
      <c r="E56" s="488"/>
      <c r="F56" s="131"/>
      <c r="G56" s="131"/>
      <c r="H56" s="131"/>
    </row>
    <row r="57" spans="1:8" ht="12.75" customHeight="1">
      <c r="A57" s="131"/>
      <c r="B57" s="131"/>
      <c r="C57" s="488"/>
      <c r="D57" s="131"/>
      <c r="E57" s="488"/>
      <c r="F57" s="131"/>
      <c r="G57" s="131"/>
      <c r="H57" s="131"/>
    </row>
    <row r="58" spans="1:8">
      <c r="A58" s="131"/>
      <c r="B58" s="131"/>
      <c r="C58" s="488"/>
      <c r="D58" s="131"/>
      <c r="E58" s="488"/>
      <c r="F58" s="131"/>
      <c r="G58" s="131"/>
      <c r="H58" s="131"/>
    </row>
    <row r="59" spans="1:8">
      <c r="A59" s="131"/>
      <c r="B59" s="131"/>
      <c r="C59" s="488"/>
      <c r="D59" s="131"/>
      <c r="E59" s="488"/>
      <c r="F59" s="131"/>
      <c r="G59" s="131"/>
      <c r="H59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4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1-000000000000}">
  <sheetPr codeName="Sheet447">
    <pageSetUpPr fitToPage="1"/>
  </sheetPr>
  <dimension ref="A1:G53"/>
  <sheetViews>
    <sheetView view="pageBreakPreview" topLeftCell="A7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0.7109375" style="111" customWidth="1"/>
    <col min="4" max="4" width="23" style="111" customWidth="1"/>
    <col min="5" max="5" width="13.42578125" style="111" customWidth="1"/>
    <col min="6" max="6" width="9.5703125" style="111" customWidth="1"/>
    <col min="7" max="7" width="15.28515625" style="111" customWidth="1"/>
    <col min="8" max="14" width="9.140625" style="111"/>
    <col min="15" max="15" width="9.7109375" style="111" bestFit="1" customWidth="1"/>
    <col min="16" max="16384" width="9.140625" style="111"/>
  </cols>
  <sheetData>
    <row r="1" spans="1:7" ht="15">
      <c r="A1" s="528" t="s">
        <v>26</v>
      </c>
      <c r="B1" s="528"/>
      <c r="C1" s="528"/>
      <c r="D1" s="528"/>
      <c r="E1" s="528"/>
      <c r="F1" s="528"/>
      <c r="G1" s="528"/>
    </row>
    <row r="2" spans="1:7">
      <c r="A2" s="530" t="s">
        <v>25</v>
      </c>
      <c r="B2" s="530"/>
      <c r="C2" s="530"/>
      <c r="D2" s="530"/>
      <c r="E2" s="530"/>
      <c r="F2" s="530"/>
      <c r="G2" s="530"/>
    </row>
    <row r="3" spans="1:7">
      <c r="A3" s="530" t="s">
        <v>1480</v>
      </c>
      <c r="B3" s="530"/>
      <c r="C3" s="530"/>
      <c r="D3" s="530"/>
      <c r="E3" s="530"/>
      <c r="F3" s="530"/>
      <c r="G3" s="530"/>
    </row>
    <row r="4" spans="1:7">
      <c r="A4" s="530" t="s">
        <v>1481</v>
      </c>
      <c r="B4" s="530"/>
      <c r="C4" s="530"/>
      <c r="D4" s="530"/>
      <c r="E4" s="530"/>
      <c r="F4" s="530"/>
      <c r="G4" s="530"/>
    </row>
    <row r="8" spans="1:7">
      <c r="A8" s="111" t="s">
        <v>24</v>
      </c>
      <c r="E8" s="22" t="s">
        <v>23</v>
      </c>
    </row>
    <row r="9" spans="1:7">
      <c r="E9" s="112" t="s">
        <v>1134</v>
      </c>
      <c r="F9" s="111" t="s">
        <v>4406</v>
      </c>
    </row>
    <row r="10" spans="1:7">
      <c r="A10" s="111" t="s">
        <v>1798</v>
      </c>
      <c r="E10" s="112" t="s">
        <v>1162</v>
      </c>
      <c r="F10" s="112" t="s">
        <v>4407</v>
      </c>
    </row>
    <row r="11" spans="1:7">
      <c r="A11" s="111" t="s">
        <v>3850</v>
      </c>
      <c r="E11" s="112" t="s">
        <v>1163</v>
      </c>
      <c r="F11" s="112" t="s">
        <v>2023</v>
      </c>
    </row>
    <row r="12" spans="1:7">
      <c r="A12" s="111" t="s">
        <v>3851</v>
      </c>
      <c r="E12" s="112" t="s">
        <v>1135</v>
      </c>
      <c r="F12" s="112" t="s">
        <v>1270</v>
      </c>
    </row>
    <row r="16" spans="1:7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8"/>
      <c r="F16" s="17"/>
      <c r="G16" s="16" t="s">
        <v>13</v>
      </c>
    </row>
    <row r="18" spans="1:7">
      <c r="D18" s="2" t="s">
        <v>3845</v>
      </c>
    </row>
    <row r="19" spans="1:7">
      <c r="A19" s="161"/>
      <c r="B19" s="116"/>
      <c r="C19" s="116"/>
      <c r="D19" s="2"/>
    </row>
    <row r="20" spans="1:7">
      <c r="A20" s="116" t="s">
        <v>4408</v>
      </c>
      <c r="B20" s="116" t="s">
        <v>4409</v>
      </c>
      <c r="C20" s="116"/>
      <c r="D20" s="111" t="s">
        <v>4410</v>
      </c>
      <c r="G20" s="111">
        <f>17028*4.3113</f>
        <v>73412.816399999996</v>
      </c>
    </row>
    <row r="21" spans="1:7">
      <c r="A21" s="116"/>
      <c r="B21" s="121"/>
      <c r="C21" s="121"/>
    </row>
    <row r="22" spans="1:7">
      <c r="B22" s="121"/>
      <c r="C22" s="121"/>
    </row>
    <row r="29" spans="1:7">
      <c r="A29" s="120"/>
    </row>
    <row r="30" spans="1:7">
      <c r="A30" s="116"/>
      <c r="B30" s="121"/>
      <c r="C30" s="121"/>
    </row>
    <row r="31" spans="1:7">
      <c r="B31" s="120"/>
      <c r="C31" s="120"/>
    </row>
    <row r="32" spans="1:7">
      <c r="B32" s="120"/>
      <c r="C32" s="120"/>
    </row>
    <row r="34" spans="1:7" ht="13.5" thickBot="1">
      <c r="G34" s="127">
        <f>SUM(G19:G33)</f>
        <v>73412.816399999996</v>
      </c>
    </row>
    <row r="35" spans="1:7" ht="13.5" thickTop="1"/>
    <row r="36" spans="1:7" ht="20.100000000000001" customHeight="1">
      <c r="A36" s="118" t="s">
        <v>1133</v>
      </c>
      <c r="B36" s="202" t="str">
        <f>IF(OR(G34&gt;1000000,G34&lt;=0),"",IF(G34&lt;1000,"",IF(MOD(G34,1000000)&gt;=100000,INDEX(numbers,TRUNC(MOD(G34,1000000)/100000,0)+1)&amp;" Hundred","")&amp;IF(MOD(G34,100000)&gt;=20000," "&amp;INDEX(tens,TRUNC(MOD(G34,100000)/10000,0)+1)&amp;IF(MOD(MOD(G34,100000),10000)&gt;=1000,"-"&amp;INDEX(numbers,TRUNC(MOD(MOD(G34,100000),10000)/1000,0)+1),""),IF(MOD(G34,100000)&gt;=1000," "&amp;INDEX(numbers,TRUNC(MOD(G34,100000)/1000,0)+1),""))&amp;" Thousand") &amp; IF(G34&lt;1,"Zero Dollars",IF(MOD(G34,1000)&gt;=100," "&amp;INDEX(numbers,TRUNC(MOD(G34,1000)/100,0)+1)&amp;" Hundred","")&amp;IF(MOD(G34,100)&gt;=20," "&amp;INDEX(tens,TRUNC(MOD(G34,100)/10,0)+1)&amp;IF(MOD(MOD(G34,100),10)&gt;=1,"-"&amp;INDEX(numbers,TRUNC(MOD(MOD(G34,100),10),0)+1),""),IF(MOD(G34,100)&gt;=1," "&amp;INDEX(numbers,TRUNC(MOD(G34,100),0)+1),""))&amp;"") &amp; " and " &amp; IF(MOD(G34,1)&lt;0.005,"NO",ROUND(MOD(G34,1)*100,0)) &amp; "/100 -----------")</f>
        <v xml:space="preserve"> Seventy-Three Thousand Four Hundred Twelve and 82/100 -----------</v>
      </c>
      <c r="C36" s="202"/>
      <c r="D36" s="119"/>
      <c r="E36" s="119"/>
      <c r="F36" s="119"/>
      <c r="G36" s="261"/>
    </row>
    <row r="37" spans="1:7">
      <c r="A37" s="120"/>
    </row>
    <row r="38" spans="1:7">
      <c r="A38" s="123" t="s">
        <v>10</v>
      </c>
    </row>
    <row r="39" spans="1:7" ht="25.5">
      <c r="A39" s="126"/>
      <c r="E39" s="265" t="s">
        <v>2894</v>
      </c>
      <c r="F39" s="266"/>
      <c r="G39" s="267"/>
    </row>
    <row r="40" spans="1:7">
      <c r="A40" s="123"/>
    </row>
    <row r="41" spans="1:7">
      <c r="A41" s="123"/>
      <c r="D41" s="121"/>
    </row>
    <row r="42" spans="1:7">
      <c r="A42" s="150"/>
      <c r="B42" s="122"/>
    </row>
    <row r="44" spans="1:7">
      <c r="A44" s="123" t="s">
        <v>8</v>
      </c>
      <c r="D44" s="123" t="s">
        <v>8</v>
      </c>
      <c r="E44" s="123" t="s">
        <v>7</v>
      </c>
      <c r="G44" s="124"/>
    </row>
    <row r="45" spans="1:7">
      <c r="A45" s="123"/>
      <c r="D45" s="123"/>
    </row>
    <row r="46" spans="1:7">
      <c r="A46" s="123"/>
      <c r="D46" s="123"/>
    </row>
    <row r="47" spans="1:7">
      <c r="A47" s="123"/>
      <c r="D47" s="123"/>
    </row>
    <row r="48" spans="1:7">
      <c r="A48" s="150"/>
      <c r="B48" s="122"/>
      <c r="D48" s="150"/>
      <c r="E48" s="122"/>
      <c r="F48" s="122"/>
      <c r="G48" s="122"/>
    </row>
    <row r="49" spans="1:5" s="126" customFormat="1" ht="17.100000000000001" customHeight="1">
      <c r="A49" s="151" t="s">
        <v>2948</v>
      </c>
      <c r="B49" s="125"/>
      <c r="C49" s="125"/>
      <c r="D49" s="151" t="s">
        <v>103</v>
      </c>
      <c r="E49" s="126" t="s">
        <v>3</v>
      </c>
    </row>
    <row r="50" spans="1:5">
      <c r="A50" s="151"/>
      <c r="E50" s="111" t="s">
        <v>2</v>
      </c>
    </row>
    <row r="51" spans="1:5">
      <c r="A51" s="123"/>
    </row>
    <row r="52" spans="1:5">
      <c r="E52" s="2" t="s">
        <v>1</v>
      </c>
    </row>
    <row r="53" spans="1:5">
      <c r="E53" s="2" t="s">
        <v>0</v>
      </c>
    </row>
  </sheetData>
  <mergeCells count="4">
    <mergeCell ref="A1:G1"/>
    <mergeCell ref="A2:G2"/>
    <mergeCell ref="A3:G3"/>
    <mergeCell ref="A4:G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425">
    <pageSetUpPr fitToPage="1"/>
  </sheetPr>
  <dimension ref="A1:G59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3932</v>
      </c>
      <c r="F9" s="111"/>
    </row>
    <row r="10" spans="1:6">
      <c r="A10" s="111" t="s">
        <v>3933</v>
      </c>
      <c r="B10" s="111"/>
      <c r="C10" s="111"/>
      <c r="D10" s="112" t="s">
        <v>1162</v>
      </c>
      <c r="E10" s="123" t="s">
        <v>3931</v>
      </c>
      <c r="F10" s="111"/>
    </row>
    <row r="11" spans="1:6">
      <c r="A11" s="111" t="s">
        <v>3934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3935</v>
      </c>
      <c r="B12" s="111"/>
      <c r="C12" s="111"/>
      <c r="D12" s="112" t="s">
        <v>1135</v>
      </c>
      <c r="E12" s="112" t="s">
        <v>1270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48"/>
      <c r="B18" s="111"/>
      <c r="C18" s="2" t="s">
        <v>3936</v>
      </c>
      <c r="D18" s="111"/>
      <c r="E18" s="111"/>
      <c r="F18" s="111"/>
      <c r="G18" s="111"/>
    </row>
    <row r="19" spans="1:7">
      <c r="A19" s="111"/>
      <c r="B19" s="111"/>
      <c r="C19" s="2"/>
      <c r="D19" s="111"/>
      <c r="E19" s="111"/>
      <c r="F19" s="111"/>
      <c r="G19" s="111"/>
    </row>
    <row r="20" spans="1:7">
      <c r="A20" s="116" t="s">
        <v>3937</v>
      </c>
      <c r="B20" s="116" t="s">
        <v>3938</v>
      </c>
      <c r="C20" s="111" t="s">
        <v>3939</v>
      </c>
      <c r="D20" s="111"/>
      <c r="E20" s="111"/>
      <c r="F20" s="111">
        <f>1247.4*4.1544</f>
        <v>5182.1985599999998</v>
      </c>
      <c r="G20" s="111"/>
    </row>
    <row r="21" spans="1:7">
      <c r="A21" s="159"/>
      <c r="B21" s="111"/>
      <c r="C21" s="120" t="s">
        <v>3940</v>
      </c>
      <c r="D21" s="111"/>
      <c r="E21" s="111"/>
      <c r="F21" s="111"/>
      <c r="G21" s="111"/>
    </row>
    <row r="22" spans="1:7">
      <c r="A22" s="252"/>
      <c r="B22" s="157"/>
      <c r="C22" s="120"/>
      <c r="D22" s="111"/>
      <c r="E22" s="111"/>
      <c r="F22" s="111"/>
      <c r="G22" s="111"/>
    </row>
    <row r="23" spans="1:7">
      <c r="A23" s="148"/>
      <c r="B23" s="111"/>
      <c r="C23" s="120" t="s">
        <v>1697</v>
      </c>
      <c r="D23" s="111"/>
      <c r="E23" s="111"/>
      <c r="F23" s="111">
        <v>20</v>
      </c>
      <c r="G23" s="111"/>
    </row>
    <row r="24" spans="1:7">
      <c r="A24" s="111"/>
      <c r="B24" s="111"/>
      <c r="C24" s="120"/>
      <c r="D24" s="111"/>
      <c r="E24" s="111"/>
      <c r="F24" s="111"/>
      <c r="G24" s="111"/>
    </row>
    <row r="25" spans="1:7">
      <c r="A25" s="111"/>
      <c r="B25" s="111"/>
      <c r="C25" s="111" t="s">
        <v>1814</v>
      </c>
      <c r="D25" s="111"/>
      <c r="E25" s="111"/>
      <c r="F25" s="111">
        <f>F23*6%</f>
        <v>1.2</v>
      </c>
      <c r="G25" s="111"/>
    </row>
    <row r="26" spans="1:7">
      <c r="A26" s="159"/>
      <c r="B26" s="111"/>
      <c r="C26" s="111"/>
      <c r="D26" s="111"/>
      <c r="E26" s="111"/>
      <c r="F26" s="111"/>
      <c r="G26" s="111"/>
    </row>
    <row r="27" spans="1:7">
      <c r="A27" s="252"/>
      <c r="B27" s="111"/>
      <c r="C27" s="111"/>
      <c r="D27" s="111"/>
      <c r="E27" s="111"/>
      <c r="F27" s="111"/>
      <c r="G27" s="111"/>
    </row>
    <row r="28" spans="1:7">
      <c r="A28" s="148"/>
      <c r="B28" s="111"/>
      <c r="C28" s="111"/>
      <c r="D28" s="111"/>
      <c r="E28" s="111"/>
      <c r="F28" s="111"/>
      <c r="G28" s="111"/>
    </row>
    <row r="29" spans="1:7">
      <c r="A29" s="148"/>
      <c r="B29" s="111"/>
      <c r="C29" s="111"/>
      <c r="D29" s="111"/>
      <c r="E29" s="111"/>
      <c r="F29" s="111"/>
      <c r="G29" s="111"/>
    </row>
    <row r="30" spans="1:7">
      <c r="A30" s="111"/>
      <c r="B30" s="111"/>
      <c r="C30" s="111"/>
      <c r="D30" s="111"/>
      <c r="E30" s="111"/>
      <c r="F30" s="111"/>
      <c r="G30" s="111"/>
    </row>
    <row r="31" spans="1:7">
      <c r="A31" s="111"/>
      <c r="B31" s="111"/>
      <c r="C31" s="111"/>
      <c r="D31" s="111"/>
      <c r="E31" s="111"/>
      <c r="F31" s="111"/>
      <c r="G31" s="111"/>
    </row>
    <row r="32" spans="1:7">
      <c r="A32" s="148"/>
      <c r="B32" s="111"/>
      <c r="C32" s="2"/>
      <c r="D32" s="111"/>
      <c r="E32" s="111"/>
      <c r="F32" s="111"/>
    </row>
    <row r="33" spans="1:7">
      <c r="A33" s="148"/>
      <c r="B33" s="111"/>
      <c r="C33" s="2"/>
      <c r="D33" s="111"/>
      <c r="E33" s="111"/>
      <c r="F33" s="111"/>
    </row>
    <row r="34" spans="1:7">
      <c r="A34" s="159"/>
      <c r="B34" s="111"/>
      <c r="C34" s="111"/>
      <c r="D34" s="111"/>
      <c r="E34" s="111"/>
      <c r="F34" s="111"/>
    </row>
    <row r="35" spans="1:7">
      <c r="A35" s="252"/>
      <c r="B35" s="111"/>
      <c r="C35" s="111"/>
      <c r="D35" s="111"/>
      <c r="E35" s="111"/>
      <c r="F35" s="111"/>
    </row>
    <row r="36" spans="1:7">
      <c r="A36" s="148"/>
      <c r="B36" s="111"/>
      <c r="C36" s="111"/>
      <c r="D36" s="111"/>
      <c r="E36" s="111"/>
      <c r="F36" s="111"/>
      <c r="G36" s="111"/>
    </row>
    <row r="37" spans="1:7">
      <c r="C37" s="2"/>
      <c r="D37" s="111"/>
      <c r="E37" s="111"/>
      <c r="F37" s="111"/>
      <c r="G37" s="111"/>
    </row>
    <row r="38" spans="1:7" ht="13.5" thickBot="1">
      <c r="A38" s="159"/>
      <c r="B38" s="111"/>
      <c r="C38" s="111"/>
      <c r="D38" s="111"/>
      <c r="E38" s="111"/>
      <c r="F38" s="127">
        <f>SUM(F19:F37)</f>
        <v>5203.3985599999996</v>
      </c>
      <c r="G38" s="111"/>
    </row>
    <row r="39" spans="1:7" ht="13.5" thickTop="1">
      <c r="A39" s="126"/>
      <c r="B39" s="111"/>
      <c r="C39" s="111"/>
      <c r="D39" s="111"/>
      <c r="E39" s="111"/>
      <c r="F39" s="111"/>
      <c r="G39" s="111"/>
    </row>
    <row r="40" spans="1:7" ht="20.100000000000001" customHeight="1">
      <c r="A40" s="118" t="s">
        <v>1133</v>
      </c>
      <c r="B40" s="202" t="str">
        <f>IF(OR(F38&gt;1000000,F38&lt;=0),"",IF(F38&lt;1000,"",IF(MOD(F38,1000000)&gt;=100000,INDEX(numbers,TRUNC(MOD(F38,1000000)/100000,0)+1)&amp;" Hundred","")&amp;IF(MOD(F38,100000)&gt;=20000," "&amp;INDEX(tens,TRUNC(MOD(F38,100000)/10000,0)+1)&amp;IF(MOD(MOD(F38,100000),10000)&gt;=1000,"-"&amp;INDEX(numbers,TRUNC(MOD(MOD(F38,100000),10000)/1000,0)+1),""),IF(MOD(F38,100000)&gt;=1000," "&amp;INDEX(numbers,TRUNC(MOD(F38,100000)/1000,0)+1),""))&amp;" Thousand") &amp; IF(F38&lt;1,"Zero Dollars",IF(MOD(F38,1000)&gt;=100," "&amp;INDEX(numbers,TRUNC(MOD(F38,1000)/100,0)+1)&amp;" Hundred","")&amp;IF(MOD(F38,100)&gt;=20," "&amp;INDEX(tens,TRUNC(MOD(F38,100)/10,0)+1)&amp;IF(MOD(MOD(F38,100),10)&gt;=1,"-"&amp;INDEX(numbers,TRUNC(MOD(MOD(F38,100),10),0)+1),""),IF(MOD(F38,100)&gt;=1," "&amp;INDEX(numbers,TRUNC(MOD(F38,100),0)+1),""))&amp;"") &amp; " and " &amp; IF(MOD(F38,1)&lt;0.005,"NO",ROUND(MOD(F38,1)*100,0)) &amp; "/100 -----------")</f>
        <v xml:space="preserve"> Five Thousand Two Hundred Three and 40/100 -----------</v>
      </c>
      <c r="C40" s="119"/>
      <c r="D40" s="119"/>
      <c r="E40" s="119"/>
      <c r="F40" s="119"/>
      <c r="G40" s="111"/>
    </row>
    <row r="41" spans="1:7">
      <c r="A41" s="120" t="s">
        <v>11</v>
      </c>
      <c r="B41" s="111"/>
      <c r="C41" s="111"/>
      <c r="D41" s="111"/>
      <c r="E41" s="111"/>
      <c r="F41" s="111"/>
    </row>
    <row r="42" spans="1:7" ht="25.5">
      <c r="A42" s="126" t="s">
        <v>10</v>
      </c>
      <c r="B42" s="111"/>
      <c r="C42" s="111"/>
      <c r="D42" s="265" t="s">
        <v>2894</v>
      </c>
      <c r="E42" s="266"/>
      <c r="F42" s="267"/>
    </row>
    <row r="43" spans="1:7">
      <c r="A43" s="111"/>
      <c r="B43" s="111"/>
      <c r="C43" s="111"/>
      <c r="D43" s="111"/>
      <c r="E43" s="111"/>
      <c r="F43" s="111"/>
    </row>
    <row r="44" spans="1:7">
      <c r="A44" s="151"/>
      <c r="B44" s="111"/>
      <c r="C44" s="111"/>
      <c r="D44" s="111"/>
      <c r="E44" s="111"/>
      <c r="F44" s="111"/>
    </row>
    <row r="45" spans="1:7">
      <c r="A45" s="111"/>
      <c r="B45" s="111"/>
      <c r="C45" s="121"/>
      <c r="D45" s="111"/>
      <c r="E45" s="111"/>
      <c r="F45" s="111"/>
    </row>
    <row r="46" spans="1:7">
      <c r="A46" s="122"/>
      <c r="B46" s="122"/>
      <c r="C46" s="111"/>
      <c r="D46" s="111"/>
      <c r="E46" s="111"/>
      <c r="F46" s="111"/>
    </row>
    <row r="47" spans="1:7">
      <c r="B47" s="111"/>
      <c r="C47" s="111"/>
      <c r="D47" s="111"/>
      <c r="E47" s="111"/>
      <c r="F47" s="111"/>
    </row>
    <row r="48" spans="1:7">
      <c r="A48" s="123" t="s">
        <v>8</v>
      </c>
      <c r="C48" s="111"/>
      <c r="D48" s="123" t="s">
        <v>7</v>
      </c>
      <c r="E48" s="111"/>
      <c r="F48" s="124"/>
    </row>
    <row r="49" spans="1:6">
      <c r="A49" s="111"/>
      <c r="B49" s="111"/>
      <c r="C49" s="111"/>
      <c r="D49" s="111"/>
      <c r="E49" s="111"/>
      <c r="F49" s="111"/>
    </row>
    <row r="50" spans="1:6">
      <c r="A50" s="111"/>
      <c r="B50" s="111"/>
      <c r="C50" s="111"/>
      <c r="D50" s="111"/>
      <c r="E50" s="111"/>
      <c r="F50" s="111"/>
    </row>
    <row r="51" spans="1:6">
      <c r="A51" s="111"/>
      <c r="B51" s="111"/>
      <c r="C51" s="111"/>
      <c r="D51" s="111"/>
      <c r="E51" s="111"/>
      <c r="F51" s="111"/>
    </row>
    <row r="52" spans="1:6">
      <c r="A52" s="122"/>
      <c r="B52" s="122"/>
      <c r="C52" s="111"/>
      <c r="D52" s="122"/>
      <c r="E52" s="122"/>
      <c r="F52" s="122"/>
    </row>
    <row r="53" spans="1:6" s="3" customFormat="1" ht="17.100000000000001" customHeight="1">
      <c r="A53" s="151" t="s">
        <v>2948</v>
      </c>
      <c r="B53" s="125"/>
      <c r="C53" s="126"/>
      <c r="D53" s="126" t="s">
        <v>3</v>
      </c>
      <c r="E53" s="126"/>
      <c r="F53" s="126"/>
    </row>
    <row r="54" spans="1:6">
      <c r="A54" s="111"/>
      <c r="B54" s="111"/>
      <c r="C54" s="111"/>
      <c r="D54" s="111" t="s">
        <v>2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2" t="s">
        <v>1</v>
      </c>
      <c r="E56" s="111"/>
      <c r="F56" s="111"/>
    </row>
    <row r="57" spans="1:6">
      <c r="A57" s="111"/>
      <c r="B57" s="111"/>
      <c r="C57" s="111"/>
      <c r="D57" s="2" t="s">
        <v>0</v>
      </c>
      <c r="E57" s="111"/>
      <c r="F57" s="111"/>
    </row>
    <row r="58" spans="1:6">
      <c r="A58" s="111"/>
      <c r="B58" s="111"/>
      <c r="C58" s="111"/>
      <c r="D58" s="111"/>
      <c r="E58" s="111"/>
      <c r="F58" s="111"/>
    </row>
    <row r="59" spans="1:6">
      <c r="A59" s="111"/>
      <c r="B59" s="111"/>
      <c r="C59" s="111"/>
      <c r="D59" s="111"/>
      <c r="E59" s="111"/>
      <c r="F59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4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1-000000000000}">
  <sheetPr codeName="Sheet448">
    <pageSetUpPr fitToPage="1"/>
  </sheetPr>
  <dimension ref="A1:F53"/>
  <sheetViews>
    <sheetView workbookViewId="0">
      <selection activeCell="G9" sqref="G9:G13"/>
    </sheetView>
  </sheetViews>
  <sheetFormatPr defaultRowHeight="12.75"/>
  <cols>
    <col min="1" max="2" width="15.5703125" style="111" customWidth="1"/>
    <col min="3" max="3" width="21" style="111" customWidth="1"/>
    <col min="4" max="4" width="16.42578125" style="111" customWidth="1"/>
    <col min="5" max="5" width="9.42578125" style="111" customWidth="1"/>
    <col min="6" max="6" width="13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1612</v>
      </c>
      <c r="E9" s="111" t="s">
        <v>3864</v>
      </c>
    </row>
    <row r="10" spans="1:6">
      <c r="A10" s="111" t="s">
        <v>3866</v>
      </c>
      <c r="D10" s="112" t="s">
        <v>1162</v>
      </c>
      <c r="E10" s="112" t="s">
        <v>3862</v>
      </c>
    </row>
    <row r="11" spans="1:6">
      <c r="A11" s="111" t="s">
        <v>3867</v>
      </c>
      <c r="D11" s="112" t="s">
        <v>1163</v>
      </c>
      <c r="E11" s="112" t="s">
        <v>1094</v>
      </c>
    </row>
    <row r="12" spans="1:6">
      <c r="A12" s="111" t="s">
        <v>3868</v>
      </c>
      <c r="D12" s="112" t="s">
        <v>1096</v>
      </c>
      <c r="E12" s="112" t="s">
        <v>3865</v>
      </c>
    </row>
    <row r="13" spans="1:6">
      <c r="A13" s="111" t="s">
        <v>3869</v>
      </c>
    </row>
    <row r="14" spans="1:6">
      <c r="A14" s="111" t="s">
        <v>1365</v>
      </c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8" spans="1:6">
      <c r="C18" s="2" t="s">
        <v>3870</v>
      </c>
    </row>
    <row r="19" spans="1:6">
      <c r="A19" s="116"/>
      <c r="B19" s="116"/>
    </row>
    <row r="20" spans="1:6">
      <c r="A20" s="116" t="s">
        <v>3871</v>
      </c>
      <c r="B20" s="116" t="s">
        <v>3872</v>
      </c>
      <c r="C20" s="111" t="s">
        <v>3873</v>
      </c>
      <c r="F20" s="111">
        <v>2700</v>
      </c>
    </row>
    <row r="21" spans="1:6">
      <c r="A21" s="116"/>
      <c r="C21" s="111" t="s">
        <v>3874</v>
      </c>
    </row>
    <row r="22" spans="1:6">
      <c r="B22" s="120"/>
    </row>
    <row r="23" spans="1:6">
      <c r="F23" s="169"/>
    </row>
    <row r="24" spans="1:6">
      <c r="B24" s="120"/>
      <c r="C24" s="120"/>
    </row>
    <row r="25" spans="1:6">
      <c r="B25" s="120"/>
    </row>
    <row r="26" spans="1:6">
      <c r="B26" s="120"/>
    </row>
    <row r="27" spans="1:6">
      <c r="B27" s="120"/>
    </row>
    <row r="28" spans="1:6">
      <c r="B28" s="120"/>
    </row>
    <row r="34" spans="1:6" ht="13.5" thickBot="1">
      <c r="F34" s="117">
        <f>SUM(F18:F33)</f>
        <v>2700</v>
      </c>
    </row>
    <row r="35" spans="1:6" ht="13.5" thickTop="1"/>
    <row r="36" spans="1:6" ht="20.100000000000001" customHeight="1">
      <c r="A36" s="118" t="s">
        <v>204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Two Thousand Seven Hundred and NO/100 -----------</v>
      </c>
      <c r="C36" s="119"/>
      <c r="D36" s="263"/>
      <c r="E36" s="263"/>
      <c r="F36" s="263"/>
    </row>
    <row r="37" spans="1:6" ht="20.100000000000001" customHeight="1">
      <c r="A37" s="160"/>
      <c r="B37" s="160"/>
      <c r="C37" s="126"/>
      <c r="D37" s="263"/>
      <c r="E37" s="263"/>
      <c r="F37" s="263"/>
    </row>
    <row r="38" spans="1:6" ht="25.5">
      <c r="A38" s="120" t="s">
        <v>3863</v>
      </c>
      <c r="D38" s="265" t="s">
        <v>2894</v>
      </c>
      <c r="E38" s="266"/>
      <c r="F38" s="267"/>
    </row>
    <row r="39" spans="1:6">
      <c r="D39" s="310"/>
      <c r="E39" s="311"/>
      <c r="F39" s="311"/>
    </row>
    <row r="40" spans="1:6">
      <c r="C40" s="121"/>
    </row>
    <row r="41" spans="1:6">
      <c r="C41" s="121"/>
    </row>
    <row r="42" spans="1:6">
      <c r="A42" s="122"/>
      <c r="B42" s="122"/>
    </row>
    <row r="44" spans="1:6">
      <c r="A44" s="123" t="s">
        <v>8</v>
      </c>
      <c r="D44" s="123" t="s">
        <v>7</v>
      </c>
      <c r="F44" s="124"/>
    </row>
    <row r="48" spans="1:6">
      <c r="A48" s="122"/>
      <c r="B48" s="122"/>
      <c r="D48" s="122"/>
      <c r="E48" s="122"/>
      <c r="F48" s="122"/>
    </row>
    <row r="49" spans="1:4" s="126" customFormat="1" ht="17.100000000000001" customHeight="1">
      <c r="A49" s="151" t="s">
        <v>2948</v>
      </c>
      <c r="B49" s="125"/>
      <c r="D49" s="126" t="s">
        <v>3</v>
      </c>
    </row>
    <row r="50" spans="1:4">
      <c r="D50" s="111" t="s">
        <v>2</v>
      </c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4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1-000000000000}">
  <sheetPr codeName="Sheet459">
    <pageSetUpPr fitToPage="1"/>
  </sheetPr>
  <dimension ref="A1:F55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4300</v>
      </c>
    </row>
    <row r="10" spans="1:6">
      <c r="A10" s="111" t="s">
        <v>4302</v>
      </c>
      <c r="D10" s="112" t="s">
        <v>1180</v>
      </c>
      <c r="E10" s="112" t="s">
        <v>4294</v>
      </c>
    </row>
    <row r="11" spans="1:6">
      <c r="A11" s="111" t="s">
        <v>4303</v>
      </c>
      <c r="D11" s="112" t="s">
        <v>1181</v>
      </c>
      <c r="E11" s="112" t="s">
        <v>1094</v>
      </c>
    </row>
    <row r="12" spans="1:6">
      <c r="D12" s="112" t="s">
        <v>1182</v>
      </c>
      <c r="E12" s="112" t="s">
        <v>4301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61"/>
      <c r="B18" s="121"/>
      <c r="C18" s="2" t="s">
        <v>4304</v>
      </c>
    </row>
    <row r="20" spans="1:6">
      <c r="A20" s="116" t="s">
        <v>4305</v>
      </c>
      <c r="B20" s="116" t="s">
        <v>4306</v>
      </c>
      <c r="C20" s="111" t="s">
        <v>4307</v>
      </c>
      <c r="F20" s="111">
        <v>1500</v>
      </c>
    </row>
    <row r="21" spans="1:6">
      <c r="A21" s="116"/>
      <c r="B21" s="121"/>
    </row>
    <row r="22" spans="1:6">
      <c r="A22" s="116"/>
      <c r="B22" s="121"/>
    </row>
    <row r="23" spans="1:6">
      <c r="A23" s="116"/>
      <c r="B23" s="121"/>
    </row>
    <row r="24" spans="1:6">
      <c r="A24" s="116"/>
      <c r="B24" s="121"/>
    </row>
    <row r="27" spans="1:6">
      <c r="A27" s="116"/>
      <c r="B27" s="121"/>
    </row>
    <row r="28" spans="1:6">
      <c r="A28" s="255"/>
      <c r="B28" s="121"/>
    </row>
    <row r="29" spans="1:6">
      <c r="A29" s="255"/>
      <c r="B29" s="121"/>
    </row>
    <row r="30" spans="1:6">
      <c r="A30" s="255"/>
      <c r="B30" s="121"/>
    </row>
    <row r="31" spans="1:6">
      <c r="A31" s="255"/>
      <c r="B31" s="121"/>
    </row>
    <row r="32" spans="1:6">
      <c r="A32" s="255"/>
      <c r="B32" s="121"/>
    </row>
    <row r="33" spans="1:6">
      <c r="A33" s="125"/>
      <c r="B33" s="121"/>
    </row>
    <row r="34" spans="1:6">
      <c r="A34" s="116"/>
      <c r="B34" s="121"/>
    </row>
    <row r="35" spans="1:6">
      <c r="A35" s="116"/>
      <c r="B35" s="121"/>
      <c r="F35" s="122"/>
    </row>
    <row r="36" spans="1:6" ht="13.5" thickBot="1">
      <c r="B36" s="121"/>
      <c r="F36" s="127">
        <f>SUM(F18:F34)</f>
        <v>1500</v>
      </c>
    </row>
    <row r="37" spans="1:6" ht="13.5" thickTop="1"/>
    <row r="38" spans="1:6" ht="20.100000000000001" customHeight="1">
      <c r="A38" s="118" t="s">
        <v>204</v>
      </c>
      <c r="B38" s="202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One Thousand Five Hundred and NO/100 -----------</v>
      </c>
      <c r="C38" s="119"/>
      <c r="D38" s="119"/>
      <c r="E38" s="119"/>
      <c r="F38" s="119"/>
    </row>
    <row r="39" spans="1:6">
      <c r="A39" s="120" t="s">
        <v>11</v>
      </c>
    </row>
    <row r="40" spans="1:6" ht="25.5">
      <c r="A40" s="126" t="s">
        <v>10</v>
      </c>
      <c r="D40" s="265" t="s">
        <v>2894</v>
      </c>
      <c r="E40" s="266"/>
      <c r="F40" s="267"/>
    </row>
    <row r="43" spans="1:6">
      <c r="A43" s="111" t="s">
        <v>52</v>
      </c>
      <c r="C43" s="121"/>
    </row>
    <row r="44" spans="1:6">
      <c r="A44" s="122"/>
      <c r="B44" s="122"/>
    </row>
    <row r="46" spans="1:6">
      <c r="A46" s="123" t="s">
        <v>8</v>
      </c>
      <c r="D46" s="123" t="s">
        <v>7</v>
      </c>
      <c r="F46" s="124"/>
    </row>
    <row r="50" spans="1:6">
      <c r="A50" s="122" t="s">
        <v>51</v>
      </c>
      <c r="B50" s="122"/>
      <c r="D50" s="122"/>
      <c r="E50" s="122"/>
      <c r="F50" s="122"/>
    </row>
    <row r="51" spans="1:6" s="126" customFormat="1" ht="17.100000000000001" customHeight="1">
      <c r="A51" s="151" t="s">
        <v>2948</v>
      </c>
      <c r="B51" s="125"/>
      <c r="D51" s="126" t="s">
        <v>3</v>
      </c>
    </row>
    <row r="52" spans="1:6">
      <c r="D52" s="111" t="s">
        <v>2</v>
      </c>
    </row>
    <row r="54" spans="1:6">
      <c r="D54" s="2" t="s">
        <v>1</v>
      </c>
    </row>
    <row r="55" spans="1:6">
      <c r="D55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4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1-000000000000}">
  <sheetPr codeName="Sheet474">
    <pageSetUpPr fitToPage="1"/>
  </sheetPr>
  <dimension ref="A1:Q54"/>
  <sheetViews>
    <sheetView zoomScaleNormal="100" workbookViewId="0">
      <selection activeCell="G9" sqref="G9:G13"/>
    </sheetView>
  </sheetViews>
  <sheetFormatPr defaultRowHeight="12.75"/>
  <cols>
    <col min="1" max="2" width="15.5703125" style="131" customWidth="1"/>
    <col min="3" max="3" width="20" style="131" customWidth="1"/>
    <col min="4" max="4" width="17.42578125" style="131" customWidth="1"/>
    <col min="5" max="5" width="9.28515625" style="131" customWidth="1"/>
    <col min="6" max="6" width="13.28515625" style="131" customWidth="1"/>
    <col min="7" max="14" width="9.140625" style="131"/>
    <col min="15" max="15" width="18.140625" style="131" customWidth="1"/>
    <col min="16" max="16384" width="9.140625" style="131"/>
  </cols>
  <sheetData>
    <row r="1" spans="1:17" ht="15">
      <c r="A1" s="531" t="s">
        <v>26</v>
      </c>
      <c r="B1" s="531"/>
      <c r="C1" s="531"/>
      <c r="D1" s="531"/>
      <c r="E1" s="531"/>
      <c r="F1" s="531"/>
    </row>
    <row r="2" spans="1:17">
      <c r="A2" s="532" t="s">
        <v>25</v>
      </c>
      <c r="B2" s="532"/>
      <c r="C2" s="532"/>
      <c r="D2" s="532"/>
      <c r="E2" s="532"/>
      <c r="F2" s="532"/>
    </row>
    <row r="3" spans="1:17">
      <c r="A3" s="532" t="s">
        <v>1480</v>
      </c>
      <c r="B3" s="532"/>
      <c r="C3" s="532"/>
      <c r="D3" s="532"/>
      <c r="E3" s="532"/>
      <c r="F3" s="532"/>
    </row>
    <row r="4" spans="1:17">
      <c r="A4" s="532" t="s">
        <v>1684</v>
      </c>
      <c r="B4" s="532"/>
      <c r="C4" s="532"/>
      <c r="D4" s="532"/>
      <c r="E4" s="532"/>
      <c r="F4" s="532"/>
    </row>
    <row r="8" spans="1:17">
      <c r="A8" s="131" t="s">
        <v>24</v>
      </c>
      <c r="D8" s="87" t="s">
        <v>23</v>
      </c>
    </row>
    <row r="9" spans="1:17">
      <c r="D9" s="132" t="s">
        <v>1716</v>
      </c>
      <c r="E9" s="132" t="s">
        <v>4508</v>
      </c>
    </row>
    <row r="10" spans="1:17">
      <c r="A10" s="131" t="s">
        <v>4510</v>
      </c>
      <c r="D10" s="132" t="s">
        <v>1162</v>
      </c>
      <c r="E10" s="132" t="s">
        <v>4505</v>
      </c>
    </row>
    <row r="11" spans="1:17">
      <c r="A11" s="131" t="s">
        <v>4511</v>
      </c>
      <c r="D11" s="132" t="s">
        <v>1163</v>
      </c>
      <c r="E11" s="132" t="s">
        <v>1094</v>
      </c>
      <c r="K11" s="140"/>
      <c r="L11" s="305"/>
    </row>
    <row r="12" spans="1:17">
      <c r="A12" s="131" t="s">
        <v>4512</v>
      </c>
      <c r="D12" s="132" t="s">
        <v>1096</v>
      </c>
      <c r="E12" s="120" t="s">
        <v>4509</v>
      </c>
      <c r="K12" s="158"/>
      <c r="L12" s="306"/>
    </row>
    <row r="13" spans="1:17">
      <c r="A13" s="131" t="s">
        <v>1323</v>
      </c>
      <c r="K13" s="158"/>
      <c r="L13" s="306"/>
    </row>
    <row r="14" spans="1:17">
      <c r="A14" s="131" t="s">
        <v>4513</v>
      </c>
      <c r="K14" s="158"/>
      <c r="L14" s="306"/>
    </row>
    <row r="15" spans="1:17">
      <c r="K15" s="158"/>
      <c r="L15" s="306"/>
    </row>
    <row r="16" spans="1:17" s="95" customFormat="1" ht="20.100000000000001" customHeight="1">
      <c r="A16" s="90" t="s">
        <v>1113</v>
      </c>
      <c r="B16" s="91" t="s">
        <v>1114</v>
      </c>
      <c r="C16" s="92" t="s">
        <v>14</v>
      </c>
      <c r="D16" s="90"/>
      <c r="E16" s="93"/>
      <c r="F16" s="94" t="s">
        <v>13</v>
      </c>
      <c r="K16" s="158"/>
      <c r="L16" s="306"/>
      <c r="M16" s="131"/>
      <c r="N16" s="131"/>
      <c r="O16" s="131"/>
      <c r="P16" s="131"/>
      <c r="Q16" s="131"/>
    </row>
    <row r="17" spans="1:13">
      <c r="K17" s="158"/>
      <c r="L17" s="306"/>
    </row>
    <row r="18" spans="1:13" ht="12.75" customHeight="1">
      <c r="C18" s="110" t="s">
        <v>3711</v>
      </c>
      <c r="K18" s="158"/>
      <c r="L18" s="305"/>
    </row>
    <row r="19" spans="1:13">
      <c r="K19" s="140"/>
      <c r="L19" s="305"/>
    </row>
    <row r="20" spans="1:13">
      <c r="A20" s="158" t="s">
        <v>4481</v>
      </c>
      <c r="B20" s="158" t="s">
        <v>4514</v>
      </c>
      <c r="C20" s="131" t="s">
        <v>4515</v>
      </c>
      <c r="F20" s="131">
        <f>14.15*139</f>
        <v>1966.8500000000001</v>
      </c>
      <c r="M20" s="110"/>
    </row>
    <row r="21" spans="1:13">
      <c r="C21" s="131" t="s">
        <v>1814</v>
      </c>
      <c r="F21" s="131">
        <v>118.15</v>
      </c>
    </row>
    <row r="22" spans="1:13">
      <c r="A22" s="158"/>
      <c r="B22" s="141"/>
      <c r="K22" s="158"/>
      <c r="L22" s="158"/>
    </row>
    <row r="24" spans="1:13">
      <c r="A24" s="158"/>
      <c r="B24" s="158"/>
      <c r="K24" s="158"/>
      <c r="L24" s="141"/>
    </row>
    <row r="28" spans="1:13">
      <c r="M28" s="110"/>
    </row>
    <row r="30" spans="1:13">
      <c r="A30" s="158"/>
      <c r="B30" s="158"/>
    </row>
    <row r="32" spans="1:13">
      <c r="A32" s="158"/>
      <c r="B32" s="306"/>
    </row>
    <row r="33" spans="1:6">
      <c r="B33" s="140"/>
    </row>
    <row r="35" spans="1:6" ht="13.5" thickBot="1">
      <c r="F35" s="164">
        <f>SUM(F18:F34)</f>
        <v>2085</v>
      </c>
    </row>
    <row r="36" spans="1:6" ht="13.5" thickTop="1"/>
    <row r="37" spans="1:6" ht="20.100000000000001" customHeight="1">
      <c r="A37" s="138" t="s">
        <v>1717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Eighty-Five and NO/100 -----------</v>
      </c>
      <c r="C37" s="139"/>
      <c r="D37" s="139"/>
      <c r="E37" s="139"/>
      <c r="F37" s="139"/>
    </row>
    <row r="38" spans="1:6">
      <c r="A38" s="140"/>
    </row>
    <row r="39" spans="1:6" ht="25.5">
      <c r="A39" s="143" t="s">
        <v>10</v>
      </c>
      <c r="D39" s="283" t="s">
        <v>2894</v>
      </c>
      <c r="E39" s="284"/>
      <c r="F39" s="285"/>
    </row>
    <row r="40" spans="1:6">
      <c r="A40" s="143"/>
    </row>
    <row r="41" spans="1:6">
      <c r="A41" s="143"/>
      <c r="D41" s="291"/>
      <c r="E41" s="291"/>
      <c r="F41" s="291"/>
    </row>
    <row r="42" spans="1:6">
      <c r="A42" s="143"/>
      <c r="C42" s="141"/>
      <c r="D42" s="286"/>
      <c r="E42" s="287"/>
      <c r="F42" s="287"/>
    </row>
    <row r="43" spans="1:6">
      <c r="A43" s="142"/>
      <c r="B43" s="142"/>
    </row>
    <row r="44" spans="1:6">
      <c r="A44" s="143"/>
    </row>
    <row r="45" spans="1:6">
      <c r="A45" s="143" t="s">
        <v>8</v>
      </c>
      <c r="D45" s="143" t="s">
        <v>7</v>
      </c>
      <c r="F45" s="144"/>
    </row>
    <row r="46" spans="1:6">
      <c r="A46" s="143"/>
    </row>
    <row r="47" spans="1:6">
      <c r="A47" s="143"/>
    </row>
    <row r="48" spans="1:6">
      <c r="A48" s="143"/>
    </row>
    <row r="49" spans="1:6">
      <c r="A49" s="248"/>
      <c r="B49" s="142"/>
      <c r="D49" s="142"/>
      <c r="E49" s="142"/>
      <c r="F49" s="142"/>
    </row>
    <row r="50" spans="1:6" s="147" customFormat="1" ht="17.100000000000001" customHeight="1">
      <c r="A50" s="143" t="s">
        <v>2948</v>
      </c>
      <c r="B50" s="146"/>
      <c r="D50" s="147" t="s">
        <v>3</v>
      </c>
    </row>
    <row r="51" spans="1:6">
      <c r="A51" s="143"/>
      <c r="D51" s="131" t="s">
        <v>2</v>
      </c>
    </row>
    <row r="52" spans="1:6">
      <c r="A52" s="143"/>
    </row>
    <row r="53" spans="1:6">
      <c r="D53" s="110" t="s">
        <v>1</v>
      </c>
    </row>
    <row r="54" spans="1:6">
      <c r="D54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4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1-000000000000}">
  <sheetPr codeName="Sheet469">
    <pageSetUpPr fitToPage="1"/>
  </sheetPr>
  <dimension ref="A1:K57"/>
  <sheetViews>
    <sheetView zoomScaleNormal="100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42578125" style="111" customWidth="1"/>
    <col min="4" max="4" width="22.85546875" style="111" customWidth="1"/>
    <col min="5" max="5" width="1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A9" s="111" t="s">
        <v>4376</v>
      </c>
      <c r="F9" s="112" t="s">
        <v>1134</v>
      </c>
      <c r="G9" s="131" t="s">
        <v>5962</v>
      </c>
    </row>
    <row r="10" spans="1:8">
      <c r="A10" s="111" t="s">
        <v>4377</v>
      </c>
      <c r="F10" s="112" t="s">
        <v>1180</v>
      </c>
      <c r="G10" s="143" t="s">
        <v>5944</v>
      </c>
    </row>
    <row r="11" spans="1:8">
      <c r="A11" s="111" t="s">
        <v>4378</v>
      </c>
      <c r="F11" s="112" t="s">
        <v>1181</v>
      </c>
      <c r="G11" s="132" t="s">
        <v>1094</v>
      </c>
    </row>
    <row r="12" spans="1:8">
      <c r="A12" s="111" t="s">
        <v>3452</v>
      </c>
      <c r="F12" s="112" t="s">
        <v>1182</v>
      </c>
      <c r="G12" s="140" t="s">
        <v>5963</v>
      </c>
    </row>
    <row r="13" spans="1:8">
      <c r="G13" s="111" t="s">
        <v>5775</v>
      </c>
    </row>
    <row r="16" spans="1:8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11">
      <c r="A18" s="116"/>
      <c r="B18" s="116"/>
      <c r="C18" s="116"/>
      <c r="D18" s="2" t="s">
        <v>5328</v>
      </c>
    </row>
    <row r="19" spans="1:11">
      <c r="C19" s="116"/>
    </row>
    <row r="20" spans="1:11">
      <c r="A20" s="116" t="s">
        <v>5959</v>
      </c>
      <c r="B20" s="116" t="s">
        <v>5964</v>
      </c>
      <c r="D20" s="111" t="s">
        <v>5329</v>
      </c>
      <c r="H20" s="111">
        <v>400</v>
      </c>
      <c r="K20" s="167"/>
    </row>
    <row r="21" spans="1:11">
      <c r="C21" s="116"/>
      <c r="D21" s="111" t="s">
        <v>5965</v>
      </c>
    </row>
    <row r="22" spans="1:11">
      <c r="A22" s="116"/>
      <c r="B22" s="116"/>
    </row>
    <row r="23" spans="1:11">
      <c r="A23" s="116"/>
      <c r="B23" s="116"/>
    </row>
    <row r="24" spans="1:11">
      <c r="A24" s="116"/>
      <c r="B24" s="116"/>
      <c r="C24" s="116"/>
    </row>
    <row r="25" spans="1:11">
      <c r="A25" s="116"/>
      <c r="B25" s="116"/>
    </row>
    <row r="26" spans="1:11">
      <c r="A26" s="116"/>
      <c r="B26" s="121"/>
      <c r="C26" s="121"/>
    </row>
    <row r="27" spans="1:11">
      <c r="A27" s="116"/>
      <c r="B27" s="121"/>
      <c r="C27" s="121"/>
    </row>
    <row r="28" spans="1:11">
      <c r="A28" s="116"/>
      <c r="B28" s="121"/>
      <c r="C28" s="121"/>
      <c r="D28" s="2"/>
    </row>
    <row r="29" spans="1:11">
      <c r="A29" s="116"/>
      <c r="B29" s="121"/>
      <c r="C29" s="121"/>
    </row>
    <row r="30" spans="1:11">
      <c r="A30" s="116"/>
      <c r="B30" s="116"/>
      <c r="C30" s="121"/>
    </row>
    <row r="31" spans="1:11">
      <c r="A31" s="116"/>
      <c r="B31" s="116"/>
      <c r="C31" s="121"/>
    </row>
    <row r="32" spans="1:11">
      <c r="A32" s="116"/>
      <c r="B32" s="116"/>
      <c r="C32" s="121"/>
    </row>
    <row r="33" spans="1:8">
      <c r="A33" s="116"/>
      <c r="B33" s="116"/>
      <c r="C33" s="121"/>
      <c r="D33" s="2"/>
    </row>
    <row r="34" spans="1:8">
      <c r="A34" s="116"/>
      <c r="B34" s="116"/>
      <c r="C34" s="121"/>
    </row>
    <row r="35" spans="1:8">
      <c r="A35" s="116"/>
      <c r="B35" s="116"/>
      <c r="C35" s="121"/>
    </row>
    <row r="36" spans="1:8">
      <c r="A36" s="116"/>
      <c r="B36" s="121"/>
      <c r="C36" s="121"/>
    </row>
    <row r="38" spans="1:8" ht="13.5" thickBot="1">
      <c r="H38" s="127">
        <f>SUM(H18:H37)</f>
        <v>400</v>
      </c>
    </row>
    <row r="39" spans="1:8" ht="13.5" thickTop="1"/>
    <row r="40" spans="1:8" ht="20.100000000000001" customHeight="1">
      <c r="A40" s="118" t="s">
        <v>204</v>
      </c>
      <c r="B40" s="202" t="str">
        <f>IF(OR(H38&gt;1000000,H38&lt;=0),"",IF(H38&lt;1000,"",IF(MOD(H38,1000000)&gt;=100000,INDEX(numbers,TRUNC(MOD(H38,1000000)/100000,0)+1)&amp;" Hundred","")&amp;IF(MOD(H38,100000)&gt;=20000," "&amp;INDEX(tens,TRUNC(MOD(H38,100000)/10000,0)+1)&amp;IF(MOD(MOD(H38,100000),10000)&gt;=1000,"-"&amp;INDEX(numbers,TRUNC(MOD(MOD(H38,100000),10000)/1000,0)+1),""),IF(MOD(H38,100000)&gt;=1000," "&amp;INDEX(numbers,TRUNC(MOD(H38,100000)/1000,0)+1),""))&amp;" Thousand") &amp; IF(H38&lt;1,"Zero Dollars",IF(MOD(H38,1000)&gt;=100," "&amp;INDEX(numbers,TRUNC(MOD(H38,1000)/100,0)+1)&amp;" Hundred","")&amp;IF(MOD(H38,100)&gt;=20," "&amp;INDEX(tens,TRUNC(MOD(H38,100)/10,0)+1)&amp;IF(MOD(MOD(H38,100),10)&gt;=1,"-"&amp;INDEX(numbers,TRUNC(MOD(MOD(H38,100),10),0)+1),""),IF(MOD(H38,100)&gt;=1," "&amp;INDEX(numbers,TRUNC(MOD(H38,100),0)+1),""))&amp;"") &amp; " and " &amp; IF(MOD(H38,1)&lt;0.005,"NO",ROUND(MOD(H38,1)*100,0)) &amp; "/100 -----------")</f>
        <v xml:space="preserve"> Four Hundred and NO/100 -----------</v>
      </c>
      <c r="C40" s="202"/>
      <c r="D40" s="119"/>
      <c r="E40" s="119"/>
      <c r="F40" s="119"/>
      <c r="G40" s="119"/>
      <c r="H40" s="119"/>
    </row>
    <row r="41" spans="1:8">
      <c r="A41" s="120" t="s">
        <v>11</v>
      </c>
    </row>
    <row r="42" spans="1:8" ht="25.5">
      <c r="A42" s="111" t="s">
        <v>10</v>
      </c>
      <c r="F42" s="265" t="s">
        <v>2894</v>
      </c>
      <c r="G42" s="266"/>
      <c r="H42" s="267"/>
    </row>
    <row r="44" spans="1:8">
      <c r="A44" s="126"/>
    </row>
    <row r="45" spans="1:8">
      <c r="A45" s="111" t="s">
        <v>52</v>
      </c>
      <c r="D45" s="121"/>
      <c r="E45" s="121"/>
    </row>
    <row r="46" spans="1:8">
      <c r="A46" s="122"/>
      <c r="B46" s="122"/>
    </row>
    <row r="48" spans="1:8">
      <c r="A48" s="123" t="s">
        <v>8</v>
      </c>
      <c r="D48" s="123" t="s">
        <v>8</v>
      </c>
      <c r="F48" s="123" t="s">
        <v>7</v>
      </c>
      <c r="H48" s="124"/>
    </row>
    <row r="52" spans="1:8">
      <c r="A52" s="122" t="s">
        <v>51</v>
      </c>
      <c r="B52" s="122"/>
      <c r="D52" s="122" t="s">
        <v>51</v>
      </c>
      <c r="F52" s="122"/>
      <c r="G52" s="122"/>
      <c r="H52" s="122"/>
    </row>
    <row r="53" spans="1:8" s="126" customFormat="1" ht="17.100000000000001" customHeight="1">
      <c r="A53" s="151" t="s">
        <v>2948</v>
      </c>
      <c r="B53" s="125"/>
      <c r="C53" s="125"/>
      <c r="D53" s="151" t="s">
        <v>103</v>
      </c>
      <c r="F53" s="126" t="s">
        <v>3</v>
      </c>
    </row>
    <row r="54" spans="1:8">
      <c r="F54" s="111" t="s">
        <v>2</v>
      </c>
    </row>
    <row r="55" spans="1:8">
      <c r="A55" s="151"/>
    </row>
    <row r="56" spans="1:8">
      <c r="F56" s="2" t="s">
        <v>1</v>
      </c>
    </row>
    <row r="57" spans="1:8">
      <c r="F57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4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1-000000000000}">
  <sheetPr codeName="Sheet475"/>
  <dimension ref="A1:S66"/>
  <sheetViews>
    <sheetView view="pageBreakPreview" topLeftCell="A13" zoomScaleNormal="100" zoomScaleSheetLayoutView="100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28515625" style="111" customWidth="1"/>
    <col min="4" max="4" width="22.42578125" style="111" customWidth="1"/>
    <col min="5" max="5" width="1.710937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19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9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9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9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9">
      <c r="A8" s="111" t="s">
        <v>24</v>
      </c>
      <c r="F8" s="22" t="s">
        <v>23</v>
      </c>
    </row>
    <row r="9" spans="1:19">
      <c r="A9" s="111" t="s">
        <v>4521</v>
      </c>
      <c r="F9" s="112" t="s">
        <v>1134</v>
      </c>
      <c r="G9" s="132" t="s">
        <v>4519</v>
      </c>
    </row>
    <row r="10" spans="1:19">
      <c r="A10" s="111" t="s">
        <v>4522</v>
      </c>
      <c r="F10" s="112" t="s">
        <v>1162</v>
      </c>
      <c r="G10" s="132" t="s">
        <v>4520</v>
      </c>
    </row>
    <row r="11" spans="1:19">
      <c r="A11" s="111" t="s">
        <v>4523</v>
      </c>
      <c r="F11" s="112" t="s">
        <v>1187</v>
      </c>
      <c r="G11" s="132" t="s">
        <v>1094</v>
      </c>
    </row>
    <row r="12" spans="1:19">
      <c r="A12" s="111" t="s">
        <v>4524</v>
      </c>
      <c r="F12" s="112" t="s">
        <v>2148</v>
      </c>
      <c r="G12" s="120" t="s">
        <v>1270</v>
      </c>
    </row>
    <row r="13" spans="1:19">
      <c r="K13" s="116"/>
      <c r="L13" s="121"/>
      <c r="M13" s="121"/>
      <c r="N13" s="2"/>
      <c r="O13" s="2"/>
    </row>
    <row r="14" spans="1:19">
      <c r="M14" s="2"/>
    </row>
    <row r="16" spans="1:19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M16" s="111"/>
      <c r="N16" s="111"/>
      <c r="O16" s="111"/>
      <c r="P16" s="111"/>
      <c r="Q16" s="111"/>
      <c r="R16" s="111"/>
      <c r="S16" s="111"/>
    </row>
    <row r="18" spans="1:15">
      <c r="A18" s="116"/>
      <c r="B18" s="116"/>
      <c r="C18" s="121"/>
      <c r="D18" s="2" t="s">
        <v>4080</v>
      </c>
    </row>
    <row r="19" spans="1:15">
      <c r="A19" s="116"/>
      <c r="B19" s="121"/>
      <c r="C19" s="121"/>
    </row>
    <row r="20" spans="1:15">
      <c r="A20" s="116" t="s">
        <v>4425</v>
      </c>
      <c r="B20" s="116" t="s">
        <v>4525</v>
      </c>
      <c r="C20" s="121"/>
      <c r="D20" s="111" t="s">
        <v>4526</v>
      </c>
      <c r="H20" s="111">
        <f>10000*5.5593</f>
        <v>55593</v>
      </c>
    </row>
    <row r="21" spans="1:15">
      <c r="A21" s="116"/>
      <c r="B21" s="121"/>
      <c r="C21" s="121"/>
      <c r="D21" s="111" t="s">
        <v>4527</v>
      </c>
    </row>
    <row r="22" spans="1:15">
      <c r="A22" s="116"/>
      <c r="B22" s="116"/>
      <c r="C22" s="121"/>
      <c r="D22" s="111" t="s">
        <v>4528</v>
      </c>
    </row>
    <row r="23" spans="1:15">
      <c r="A23" s="116"/>
      <c r="B23" s="121"/>
      <c r="C23" s="121"/>
    </row>
    <row r="24" spans="1:15">
      <c r="A24" s="116"/>
      <c r="B24" s="121"/>
      <c r="C24" s="121"/>
      <c r="D24" s="111" t="s">
        <v>1697</v>
      </c>
      <c r="H24" s="111">
        <v>30</v>
      </c>
    </row>
    <row r="25" spans="1:15">
      <c r="A25" s="116"/>
      <c r="B25" s="121"/>
      <c r="C25" s="121"/>
    </row>
    <row r="26" spans="1:15">
      <c r="A26" s="116"/>
      <c r="B26" s="121"/>
      <c r="C26" s="121"/>
      <c r="D26" s="111" t="s">
        <v>3861</v>
      </c>
      <c r="H26" s="111">
        <f>H24*6%</f>
        <v>1.7999999999999998</v>
      </c>
      <c r="M26" s="116"/>
    </row>
    <row r="28" spans="1:15">
      <c r="N28" s="121"/>
      <c r="O28" s="2"/>
    </row>
    <row r="29" spans="1:15">
      <c r="A29" s="116"/>
      <c r="B29" s="121"/>
      <c r="C29" s="121"/>
      <c r="L29" s="116"/>
      <c r="M29" s="121"/>
      <c r="N29" s="121"/>
    </row>
    <row r="30" spans="1:15">
      <c r="A30" s="116"/>
      <c r="B30" s="121"/>
      <c r="C30" s="121"/>
      <c r="L30" s="116"/>
      <c r="M30" s="121"/>
      <c r="N30" s="121"/>
    </row>
    <row r="31" spans="1:15">
      <c r="A31" s="116"/>
      <c r="B31" s="121"/>
      <c r="C31" s="121"/>
      <c r="L31" s="116"/>
      <c r="M31" s="121"/>
      <c r="N31" s="121"/>
    </row>
    <row r="32" spans="1:15">
      <c r="A32" s="116"/>
      <c r="B32" s="121"/>
      <c r="C32" s="121"/>
      <c r="L32" s="116"/>
      <c r="M32" s="121"/>
      <c r="N32" s="121"/>
    </row>
    <row r="33" spans="1:15">
      <c r="A33" s="116"/>
      <c r="B33" s="121"/>
      <c r="C33" s="121"/>
      <c r="O33" s="167"/>
    </row>
    <row r="34" spans="1:15" hidden="1">
      <c r="A34" s="116"/>
      <c r="B34" s="121"/>
      <c r="C34" s="121"/>
    </row>
    <row r="35" spans="1:15" hidden="1">
      <c r="D35" s="2"/>
      <c r="E35" s="2"/>
      <c r="K35" s="116"/>
    </row>
    <row r="36" spans="1:15" hidden="1">
      <c r="A36" s="116"/>
      <c r="B36" s="121"/>
      <c r="C36" s="121"/>
    </row>
    <row r="37" spans="1:15" hidden="1">
      <c r="A37" s="116"/>
      <c r="B37" s="121"/>
      <c r="C37" s="121"/>
    </row>
    <row r="38" spans="1:15" hidden="1">
      <c r="A38" s="116"/>
      <c r="B38" s="121"/>
      <c r="C38" s="121"/>
    </row>
    <row r="39" spans="1:15" hidden="1">
      <c r="A39" s="116"/>
      <c r="B39" s="121"/>
      <c r="C39" s="121"/>
    </row>
    <row r="40" spans="1:15" hidden="1">
      <c r="A40" s="116"/>
      <c r="B40" s="121"/>
      <c r="C40" s="121"/>
    </row>
    <row r="41" spans="1:15" hidden="1">
      <c r="A41" s="116"/>
      <c r="B41" s="121"/>
      <c r="C41" s="121"/>
    </row>
    <row r="42" spans="1:15" hidden="1">
      <c r="A42" s="116"/>
      <c r="B42" s="121"/>
      <c r="C42" s="121"/>
    </row>
    <row r="43" spans="1:15" hidden="1">
      <c r="A43" s="116"/>
      <c r="B43" s="121"/>
      <c r="C43" s="121"/>
      <c r="K43" s="116"/>
      <c r="L43" s="121"/>
      <c r="M43" s="121"/>
    </row>
    <row r="44" spans="1:15" hidden="1">
      <c r="A44" s="116"/>
      <c r="B44" s="121"/>
      <c r="C44" s="121"/>
      <c r="K44" s="116"/>
      <c r="L44" s="121"/>
      <c r="M44" s="121"/>
    </row>
    <row r="46" spans="1:15" ht="13.5" thickBot="1">
      <c r="H46" s="127">
        <f>SUM(H18:H45)</f>
        <v>55624.800000000003</v>
      </c>
    </row>
    <row r="47" spans="1:15" ht="13.5" thickTop="1">
      <c r="K47" s="116"/>
      <c r="L47" s="121"/>
      <c r="M47" s="121"/>
    </row>
    <row r="48" spans="1:15" ht="20.100000000000001" customHeight="1">
      <c r="A48" s="118" t="s">
        <v>204</v>
      </c>
      <c r="B48" s="202" t="str">
        <f>IF(OR(H46&gt;1000000,H46&lt;=0),"",IF(H46&lt;1000,"",IF(MOD(H46,1000000)&gt;=100000,INDEX(numbers,TRUNC(MOD(H46,1000000)/100000,0)+1)&amp;" Hundred","")&amp;IF(MOD(H46,100000)&gt;=20000," "&amp;INDEX(tens,TRUNC(MOD(H46,100000)/10000,0)+1)&amp;IF(MOD(MOD(H46,100000),10000)&gt;=1000,"-"&amp;INDEX(numbers,TRUNC(MOD(MOD(H46,100000),10000)/1000,0)+1),""),IF(MOD(H46,100000)&gt;=1000," "&amp;INDEX(numbers,TRUNC(MOD(H46,100000)/1000,0)+1),""))&amp;" Thousand") &amp; IF(H46&lt;1,"Zero Dollars",IF(MOD(H46,1000)&gt;=100," "&amp;INDEX(numbers,TRUNC(MOD(H46,1000)/100,0)+1)&amp;" Hundred","")&amp;IF(MOD(H46,100)&gt;=20," "&amp;INDEX(tens,TRUNC(MOD(H46,100)/10,0)+1)&amp;IF(MOD(MOD(H46,100),10)&gt;=1,"-"&amp;INDEX(numbers,TRUNC(MOD(MOD(H46,100),10),0)+1),""),IF(MOD(H46,100)&gt;=1," "&amp;INDEX(numbers,TRUNC(MOD(H46,100),0)+1),""))&amp;"") &amp; " and " &amp; IF(MOD(H46,1)&lt;0.005,"NO",ROUND(MOD(H46,1)*100,0)) &amp; "/100 -----------")</f>
        <v xml:space="preserve"> Fifty-Five Thousand Six Hundred Twenty-Four and 80/100 -----------</v>
      </c>
      <c r="C48" s="202"/>
      <c r="D48" s="119"/>
      <c r="E48" s="119"/>
      <c r="F48" s="119"/>
      <c r="G48" s="119"/>
      <c r="H48" s="119"/>
      <c r="K48" s="116"/>
      <c r="L48" s="121"/>
      <c r="M48" s="121"/>
      <c r="N48" s="2"/>
      <c r="O48" s="2"/>
    </row>
    <row r="49" spans="1:18">
      <c r="A49" s="120" t="s">
        <v>11</v>
      </c>
    </row>
    <row r="50" spans="1:18" ht="25.5">
      <c r="A50" s="126" t="s">
        <v>10</v>
      </c>
      <c r="D50" s="123"/>
      <c r="F50" s="265" t="s">
        <v>2894</v>
      </c>
      <c r="G50" s="266"/>
      <c r="H50" s="267"/>
      <c r="K50" s="116"/>
      <c r="L50" s="121"/>
      <c r="M50" s="121"/>
    </row>
    <row r="53" spans="1:18">
      <c r="A53" s="111" t="s">
        <v>52</v>
      </c>
      <c r="E53" s="121"/>
      <c r="K53" s="116"/>
      <c r="L53" s="121"/>
      <c r="M53" s="121"/>
    </row>
    <row r="54" spans="1:18">
      <c r="A54" s="122"/>
      <c r="B54" s="122"/>
    </row>
    <row r="55" spans="1:18">
      <c r="D55" s="151"/>
      <c r="K55" s="116"/>
      <c r="L55" s="116"/>
      <c r="M55" s="121"/>
    </row>
    <row r="56" spans="1:18">
      <c r="D56" s="151"/>
      <c r="K56" s="116"/>
      <c r="L56" s="121"/>
      <c r="M56" s="121"/>
    </row>
    <row r="57" spans="1:18">
      <c r="A57" s="123" t="s">
        <v>8</v>
      </c>
      <c r="D57" s="123" t="s">
        <v>8</v>
      </c>
      <c r="F57" s="123" t="s">
        <v>7</v>
      </c>
      <c r="H57" s="124"/>
      <c r="K57" s="116"/>
      <c r="L57" s="121"/>
      <c r="M57" s="121"/>
    </row>
    <row r="58" spans="1:18">
      <c r="K58" s="116"/>
      <c r="L58" s="121"/>
      <c r="M58" s="121"/>
    </row>
    <row r="59" spans="1:18">
      <c r="K59" s="116"/>
      <c r="L59" s="116"/>
      <c r="M59" s="121"/>
    </row>
    <row r="60" spans="1:18">
      <c r="K60" s="116"/>
      <c r="L60" s="121"/>
      <c r="M60" s="121"/>
    </row>
    <row r="61" spans="1:18">
      <c r="A61" s="122" t="s">
        <v>51</v>
      </c>
      <c r="B61" s="122"/>
      <c r="D61" s="122" t="s">
        <v>51</v>
      </c>
      <c r="F61" s="122"/>
      <c r="G61" s="122"/>
      <c r="H61" s="122"/>
      <c r="K61" s="116"/>
      <c r="L61" s="121"/>
      <c r="M61" s="121"/>
    </row>
    <row r="62" spans="1:18" s="126" customFormat="1" ht="17.100000000000001" customHeight="1">
      <c r="A62" s="151" t="s">
        <v>2948</v>
      </c>
      <c r="B62" s="125"/>
      <c r="C62" s="125"/>
      <c r="D62" s="151" t="s">
        <v>103</v>
      </c>
      <c r="F62" s="126" t="s">
        <v>3</v>
      </c>
      <c r="K62" s="116"/>
      <c r="L62" s="121"/>
      <c r="M62" s="121"/>
      <c r="N62" s="111"/>
      <c r="O62" s="111"/>
      <c r="P62" s="111"/>
      <c r="Q62" s="111"/>
      <c r="R62" s="111"/>
    </row>
    <row r="63" spans="1:18">
      <c r="F63" s="111" t="s">
        <v>2</v>
      </c>
      <c r="K63" s="116"/>
      <c r="L63" s="121"/>
      <c r="M63" s="121"/>
    </row>
    <row r="65" spans="6:6">
      <c r="F65" s="2" t="s">
        <v>1</v>
      </c>
    </row>
    <row r="66" spans="6:6">
      <c r="F66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4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93"/>
  <dimension ref="A1:G58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3.85546875" style="227" customWidth="1"/>
    <col min="3" max="3" width="19.85546875" style="227" customWidth="1"/>
    <col min="4" max="4" width="16.42578125" style="227" customWidth="1"/>
    <col min="5" max="5" width="8.140625" style="227" customWidth="1"/>
    <col min="6" max="6" width="13.28515625" style="227" customWidth="1"/>
    <col min="7" max="7" width="16.140625" style="209" customWidth="1"/>
    <col min="8" max="16384" width="9.140625" style="209"/>
  </cols>
  <sheetData>
    <row r="1" spans="1:7" ht="15" customHeight="1">
      <c r="A1" s="531" t="s">
        <v>26</v>
      </c>
      <c r="B1" s="531"/>
      <c r="C1" s="531"/>
      <c r="D1" s="531"/>
      <c r="E1" s="531"/>
      <c r="F1" s="531"/>
    </row>
    <row r="2" spans="1:7" ht="12.75" customHeight="1">
      <c r="A2" s="532" t="s">
        <v>25</v>
      </c>
      <c r="B2" s="532"/>
      <c r="C2" s="532"/>
      <c r="D2" s="532"/>
      <c r="E2" s="532"/>
      <c r="F2" s="532"/>
    </row>
    <row r="3" spans="1:7" ht="12.75" customHeight="1">
      <c r="A3" s="532" t="s">
        <v>1480</v>
      </c>
      <c r="B3" s="532"/>
      <c r="C3" s="532"/>
      <c r="D3" s="532"/>
      <c r="E3" s="532"/>
      <c r="F3" s="532"/>
    </row>
    <row r="4" spans="1:7" ht="12.75" customHeight="1">
      <c r="A4" s="532" t="s">
        <v>1684</v>
      </c>
      <c r="B4" s="532"/>
      <c r="C4" s="532"/>
      <c r="D4" s="532"/>
      <c r="E4" s="532"/>
      <c r="F4" s="532"/>
    </row>
    <row r="5" spans="1:7" ht="12.75" customHeight="1">
      <c r="A5" s="131"/>
      <c r="B5" s="131"/>
      <c r="C5" s="131"/>
      <c r="D5" s="131"/>
      <c r="E5" s="131"/>
      <c r="F5" s="131"/>
    </row>
    <row r="6" spans="1:7" ht="12.75" customHeight="1">
      <c r="A6" s="131"/>
      <c r="B6" s="131"/>
      <c r="C6" s="131"/>
      <c r="D6" s="131"/>
      <c r="E6" s="131"/>
      <c r="F6" s="131"/>
    </row>
    <row r="7" spans="1:7" ht="12.75" customHeight="1">
      <c r="A7" s="131"/>
      <c r="B7" s="131"/>
      <c r="C7" s="131"/>
      <c r="D7" s="131"/>
      <c r="E7" s="131"/>
      <c r="F7" s="131"/>
    </row>
    <row r="8" spans="1:7" s="211" customFormat="1" ht="12.75" customHeight="1">
      <c r="A8" s="147" t="s">
        <v>24</v>
      </c>
      <c r="B8" s="147"/>
      <c r="C8" s="147"/>
      <c r="D8" s="210" t="s">
        <v>23</v>
      </c>
      <c r="E8" s="147"/>
      <c r="F8" s="147"/>
    </row>
    <row r="9" spans="1:7" s="211" customFormat="1" ht="12.75" customHeight="1">
      <c r="A9" s="147"/>
      <c r="B9" s="147"/>
      <c r="C9" s="147"/>
      <c r="D9" s="212" t="s">
        <v>1723</v>
      </c>
      <c r="E9" s="147" t="s">
        <v>3500</v>
      </c>
      <c r="F9" s="131"/>
    </row>
    <row r="10" spans="1:7" s="211" customFormat="1" ht="12.75" customHeight="1">
      <c r="A10" s="147" t="s">
        <v>3502</v>
      </c>
      <c r="B10" s="147"/>
      <c r="C10" s="147"/>
      <c r="D10" s="212" t="s">
        <v>1340</v>
      </c>
      <c r="E10" s="212" t="s">
        <v>3494</v>
      </c>
      <c r="F10" s="131"/>
    </row>
    <row r="11" spans="1:7" s="211" customFormat="1" ht="12.75" customHeight="1">
      <c r="A11" s="147" t="s">
        <v>3503</v>
      </c>
      <c r="B11" s="147"/>
      <c r="C11" s="147"/>
      <c r="D11" s="212" t="s">
        <v>1341</v>
      </c>
      <c r="E11" s="212" t="s">
        <v>1094</v>
      </c>
      <c r="F11" s="131"/>
    </row>
    <row r="12" spans="1:7" s="211" customFormat="1" ht="12.75" customHeight="1">
      <c r="A12" s="147" t="s">
        <v>3504</v>
      </c>
      <c r="B12" s="147"/>
      <c r="C12" s="147"/>
      <c r="D12" s="212" t="s">
        <v>2136</v>
      </c>
      <c r="E12" s="212" t="s">
        <v>3501</v>
      </c>
      <c r="F12" s="131"/>
    </row>
    <row r="13" spans="1:7" s="211" customFormat="1" ht="12.75" customHeight="1">
      <c r="A13" s="147" t="s">
        <v>1879</v>
      </c>
      <c r="B13" s="147"/>
      <c r="C13" s="147"/>
      <c r="D13" s="147"/>
      <c r="E13" s="131"/>
      <c r="F13" s="147"/>
    </row>
    <row r="14" spans="1:7" s="211" customFormat="1" ht="12.75" customHeight="1">
      <c r="A14" s="147"/>
      <c r="B14" s="147"/>
      <c r="C14" s="147"/>
      <c r="D14" s="147"/>
      <c r="E14" s="147"/>
      <c r="F14" s="147"/>
    </row>
    <row r="15" spans="1:7" s="213" customFormat="1" ht="12.75" customHeight="1">
      <c r="A15" s="147"/>
      <c r="B15" s="147"/>
      <c r="C15" s="147"/>
      <c r="D15" s="147"/>
      <c r="E15" s="147"/>
      <c r="F15" s="147"/>
    </row>
    <row r="16" spans="1:7" s="213" customFormat="1">
      <c r="A16" s="91" t="s">
        <v>1122</v>
      </c>
      <c r="B16" s="91" t="s">
        <v>1098</v>
      </c>
      <c r="C16" s="92" t="s">
        <v>14</v>
      </c>
      <c r="D16" s="90"/>
      <c r="E16" s="91"/>
      <c r="F16" s="94" t="s">
        <v>13</v>
      </c>
      <c r="G16" s="214"/>
    </row>
    <row r="17" spans="1:7" s="213" customFormat="1" ht="12.75" customHeight="1">
      <c r="A17" s="215"/>
      <c r="B17" s="216"/>
      <c r="C17" s="217"/>
      <c r="D17" s="216"/>
      <c r="E17" s="218"/>
      <c r="F17" s="219"/>
      <c r="G17" s="214"/>
    </row>
    <row r="18" spans="1:7" s="211" customFormat="1" ht="12.75" customHeight="1">
      <c r="A18" s="220"/>
      <c r="B18" s="145"/>
      <c r="C18" s="95" t="s">
        <v>3505</v>
      </c>
      <c r="D18" s="147"/>
      <c r="E18" s="147"/>
      <c r="F18" s="147"/>
      <c r="G18" s="221"/>
    </row>
    <row r="19" spans="1:7" s="211" customFormat="1" ht="12.75" customHeight="1">
      <c r="A19" s="222"/>
      <c r="B19" s="146"/>
      <c r="C19" s="147"/>
      <c r="D19" s="147"/>
      <c r="E19" s="147"/>
      <c r="F19" s="147"/>
      <c r="G19" s="221"/>
    </row>
    <row r="20" spans="1:7" s="224" customFormat="1" ht="12.75" customHeight="1">
      <c r="A20" s="281" t="s">
        <v>3499</v>
      </c>
      <c r="B20" s="281" t="s">
        <v>3506</v>
      </c>
      <c r="C20" s="147" t="s">
        <v>3507</v>
      </c>
      <c r="F20" s="147">
        <f>1.35*3330</f>
        <v>4495.5</v>
      </c>
    </row>
    <row r="21" spans="1:7" s="224" customFormat="1" ht="12.75" customHeight="1">
      <c r="A21" s="222"/>
      <c r="B21" s="281"/>
      <c r="C21" s="147"/>
      <c r="D21" s="147"/>
      <c r="E21" s="147"/>
      <c r="F21" s="147"/>
    </row>
    <row r="22" spans="1:7" s="224" customFormat="1" ht="12.75" customHeight="1">
      <c r="A22" s="222"/>
      <c r="B22" s="281"/>
      <c r="C22" s="147"/>
      <c r="D22" s="211"/>
      <c r="E22" s="211"/>
      <c r="F22" s="147"/>
    </row>
    <row r="23" spans="1:7" s="224" customFormat="1" ht="12.75" customHeight="1">
      <c r="A23" s="222"/>
      <c r="B23" s="281"/>
      <c r="C23" s="147"/>
      <c r="D23" s="147"/>
      <c r="E23" s="147"/>
      <c r="F23" s="147"/>
    </row>
    <row r="24" spans="1:7" s="224" customFormat="1" ht="12.75" customHeight="1">
      <c r="A24" s="222"/>
      <c r="B24" s="281"/>
      <c r="C24" s="147"/>
      <c r="F24" s="147"/>
    </row>
    <row r="25" spans="1:7" s="227" customFormat="1" ht="12.75" customHeight="1">
      <c r="C25" s="95"/>
    </row>
    <row r="26" spans="1:7" s="227" customFormat="1" ht="12.75" customHeight="1">
      <c r="A26" s="222"/>
      <c r="B26" s="146"/>
      <c r="C26" s="147"/>
      <c r="D26" s="131"/>
      <c r="E26" s="131"/>
      <c r="F26" s="131"/>
    </row>
    <row r="27" spans="1:7" ht="12.75" customHeight="1">
      <c r="A27" s="222"/>
      <c r="B27" s="281"/>
      <c r="C27" s="147"/>
      <c r="F27" s="147"/>
    </row>
    <row r="28" spans="1:7" s="211" customFormat="1" ht="12.75" customHeight="1">
      <c r="A28" s="312"/>
      <c r="B28" s="312"/>
      <c r="C28" s="147"/>
      <c r="F28" s="147"/>
      <c r="G28" s="221"/>
    </row>
    <row r="29" spans="1:7" s="211" customFormat="1" ht="12.75" customHeight="1">
      <c r="A29" s="222"/>
      <c r="B29" s="281"/>
      <c r="G29" s="221"/>
    </row>
    <row r="30" spans="1:7" s="211" customFormat="1" ht="12.75" customHeight="1">
      <c r="A30" s="222"/>
      <c r="B30" s="281"/>
      <c r="C30" s="147"/>
      <c r="D30" s="147"/>
      <c r="E30" s="147"/>
      <c r="F30" s="147"/>
      <c r="G30" s="221"/>
    </row>
    <row r="31" spans="1:7" s="211" customFormat="1" ht="12.75" customHeight="1">
      <c r="A31" s="222"/>
      <c r="B31" s="281"/>
      <c r="G31" s="221"/>
    </row>
    <row r="32" spans="1:7" s="211" customFormat="1" ht="12.75" customHeight="1">
      <c r="A32" s="222"/>
      <c r="B32" s="281"/>
      <c r="C32" s="147"/>
      <c r="D32" s="147"/>
      <c r="E32" s="147"/>
      <c r="F32" s="147"/>
      <c r="G32" s="221"/>
    </row>
    <row r="33" spans="1:7" s="211" customFormat="1" ht="15.75" customHeight="1" thickBot="1">
      <c r="A33" s="229"/>
      <c r="B33" s="224"/>
      <c r="C33" s="224"/>
      <c r="D33" s="224"/>
      <c r="E33" s="224"/>
      <c r="F33" s="230">
        <f>SUM(F18:F30)</f>
        <v>4495.5</v>
      </c>
      <c r="G33" s="221"/>
    </row>
    <row r="34" spans="1:7" s="211" customFormat="1" ht="12.75" customHeight="1" thickTop="1">
      <c r="A34" s="229"/>
      <c r="B34" s="224"/>
      <c r="C34" s="224"/>
      <c r="D34" s="224"/>
      <c r="E34" s="224"/>
      <c r="F34" s="224"/>
      <c r="G34" s="221"/>
    </row>
    <row r="35" spans="1:7" ht="20.100000000000001" customHeight="1">
      <c r="A35" s="138" t="s">
        <v>1133</v>
      </c>
      <c r="B35" s="204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Four Thousand Four Hundred Ninety-Five and 50/100 -----------</v>
      </c>
      <c r="C35" s="231"/>
      <c r="D35" s="231"/>
      <c r="E35" s="231"/>
      <c r="F35" s="231"/>
    </row>
    <row r="36" spans="1:7" ht="12.75" customHeight="1">
      <c r="A36" s="232"/>
    </row>
    <row r="37" spans="1:7" ht="27" customHeight="1">
      <c r="A37" s="131" t="s">
        <v>10</v>
      </c>
      <c r="B37" s="131"/>
      <c r="C37" s="131"/>
      <c r="D37" s="283" t="s">
        <v>2894</v>
      </c>
      <c r="E37" s="284"/>
      <c r="F37" s="285"/>
    </row>
    <row r="38" spans="1:7" ht="12.75" customHeight="1">
      <c r="A38" s="131"/>
      <c r="B38" s="131"/>
      <c r="C38" s="131"/>
      <c r="D38" s="131"/>
      <c r="E38" s="131"/>
      <c r="F38" s="131"/>
    </row>
    <row r="39" spans="1:7" ht="12.75" customHeight="1">
      <c r="A39" s="131"/>
      <c r="B39" s="131"/>
      <c r="C39" s="131"/>
      <c r="D39" s="131"/>
      <c r="E39" s="131"/>
      <c r="F39" s="131"/>
    </row>
    <row r="40" spans="1:7">
      <c r="A40" s="301"/>
      <c r="B40" s="131"/>
      <c r="C40" s="131"/>
      <c r="D40" s="291"/>
      <c r="E40" s="291"/>
      <c r="F40" s="291"/>
    </row>
    <row r="41" spans="1:7">
      <c r="A41" s="248"/>
      <c r="B41" s="142"/>
      <c r="C41" s="131"/>
      <c r="D41" s="286"/>
      <c r="E41" s="287"/>
      <c r="F41" s="287"/>
    </row>
    <row r="42" spans="1:7" ht="12.75" customHeight="1">
      <c r="A42" s="301"/>
      <c r="B42" s="301"/>
      <c r="C42" s="131"/>
      <c r="D42" s="131"/>
      <c r="E42" s="131"/>
      <c r="F42" s="144"/>
    </row>
    <row r="43" spans="1:7" ht="12.75" customHeight="1">
      <c r="A43" s="301"/>
      <c r="B43" s="301"/>
      <c r="C43" s="131"/>
      <c r="D43" s="131"/>
      <c r="E43" s="131"/>
      <c r="F43" s="144"/>
    </row>
    <row r="44" spans="1:7" ht="12.75" customHeight="1">
      <c r="A44" s="143" t="s">
        <v>8</v>
      </c>
      <c r="B44" s="131"/>
      <c r="C44" s="131"/>
      <c r="D44" s="131"/>
      <c r="E44" s="131"/>
      <c r="F44" s="131"/>
    </row>
    <row r="45" spans="1:7" ht="12.75" customHeight="1">
      <c r="A45" s="301"/>
      <c r="B45" s="131"/>
      <c r="C45" s="131"/>
      <c r="D45" s="143" t="s">
        <v>7</v>
      </c>
      <c r="E45" s="131"/>
      <c r="F45" s="131"/>
    </row>
    <row r="46" spans="1:7" ht="12.75" customHeight="1">
      <c r="A46" s="143"/>
      <c r="B46" s="131"/>
      <c r="C46" s="131"/>
      <c r="D46" s="131"/>
      <c r="E46" s="131"/>
      <c r="F46" s="131"/>
    </row>
    <row r="47" spans="1:7" ht="12.75" customHeight="1">
      <c r="A47" s="143"/>
      <c r="B47" s="131"/>
      <c r="C47" s="131"/>
      <c r="D47" s="131"/>
      <c r="E47" s="131"/>
      <c r="F47" s="131"/>
    </row>
    <row r="48" spans="1:7" s="211" customFormat="1" ht="12.75" customHeight="1">
      <c r="A48" s="143"/>
      <c r="B48" s="131"/>
      <c r="C48" s="131"/>
      <c r="D48" s="131"/>
      <c r="E48" s="147"/>
      <c r="F48" s="147"/>
    </row>
    <row r="49" spans="1:6" ht="12.75" customHeight="1">
      <c r="A49" s="248"/>
      <c r="B49" s="142"/>
      <c r="C49" s="131"/>
      <c r="D49" s="142"/>
      <c r="E49" s="142"/>
      <c r="F49" s="142"/>
    </row>
    <row r="50" spans="1:6" ht="15" customHeight="1">
      <c r="A50" s="143" t="s">
        <v>2948</v>
      </c>
      <c r="B50" s="146"/>
      <c r="C50" s="147"/>
      <c r="D50" s="147" t="s">
        <v>3</v>
      </c>
      <c r="E50" s="131"/>
      <c r="F50" s="131"/>
    </row>
    <row r="51" spans="1:6" ht="12.75" customHeight="1">
      <c r="A51" s="143"/>
      <c r="B51" s="131"/>
      <c r="C51" s="131"/>
      <c r="D51" s="131" t="s">
        <v>2</v>
      </c>
      <c r="E51" s="131"/>
      <c r="F51" s="131"/>
    </row>
    <row r="52" spans="1:6" ht="12.75" customHeight="1">
      <c r="A52" s="131"/>
      <c r="B52" s="131"/>
      <c r="C52" s="131"/>
      <c r="D52" s="131"/>
      <c r="E52" s="131"/>
      <c r="F52" s="131"/>
    </row>
    <row r="53" spans="1:6" ht="12.75" customHeight="1">
      <c r="A53" s="131"/>
      <c r="B53" s="131"/>
      <c r="C53" s="131"/>
      <c r="D53" s="110" t="s">
        <v>1</v>
      </c>
      <c r="E53" s="131"/>
      <c r="F53" s="131"/>
    </row>
    <row r="54" spans="1:6" ht="12.75" customHeight="1">
      <c r="A54" s="131"/>
      <c r="B54" s="131"/>
      <c r="C54" s="131"/>
      <c r="D54" s="110" t="s">
        <v>0</v>
      </c>
      <c r="E54" s="131"/>
      <c r="F54" s="131"/>
    </row>
    <row r="55" spans="1:6" ht="12.75" customHeight="1">
      <c r="A55" s="131"/>
      <c r="B55" s="131"/>
      <c r="C55" s="131"/>
      <c r="D55" s="131"/>
      <c r="E55" s="131"/>
      <c r="F55" s="131"/>
    </row>
    <row r="56" spans="1:6" ht="12.75" customHeight="1">
      <c r="A56" s="131"/>
      <c r="B56" s="131"/>
      <c r="C56" s="131"/>
      <c r="D56" s="131"/>
      <c r="E56" s="131"/>
      <c r="F56" s="131"/>
    </row>
    <row r="57" spans="1:6">
      <c r="A57" s="131"/>
      <c r="B57" s="131"/>
      <c r="C57" s="131"/>
      <c r="D57" s="131"/>
      <c r="E57" s="131"/>
      <c r="F57" s="131"/>
    </row>
    <row r="58" spans="1:6">
      <c r="A58" s="131"/>
      <c r="B58" s="131"/>
      <c r="C58" s="131"/>
      <c r="D58" s="131"/>
      <c r="E58" s="131"/>
      <c r="F58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4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1-000000000000}">
  <sheetPr codeName="Sheet476"/>
  <dimension ref="A1:I53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1" style="1" customWidth="1"/>
    <col min="4" max="4" width="23" style="1" customWidth="1"/>
    <col min="5" max="5" width="0.5703125" style="1" customWidth="1"/>
    <col min="6" max="6" width="13.71093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11" t="s">
        <v>6596</v>
      </c>
      <c r="H9" s="111"/>
    </row>
    <row r="10" spans="1:8">
      <c r="A10" s="111" t="s">
        <v>4580</v>
      </c>
      <c r="B10" s="111"/>
      <c r="C10" s="111"/>
      <c r="D10" s="111"/>
      <c r="E10" s="111"/>
      <c r="F10" s="112" t="s">
        <v>1162</v>
      </c>
      <c r="G10" s="112" t="s">
        <v>6572</v>
      </c>
      <c r="H10" s="111"/>
    </row>
    <row r="11" spans="1:8">
      <c r="A11" s="111" t="s">
        <v>4581</v>
      </c>
      <c r="B11" s="111"/>
      <c r="C11" s="111"/>
      <c r="D11" s="111"/>
      <c r="E11" s="111"/>
      <c r="F11" s="112" t="s">
        <v>1163</v>
      </c>
      <c r="G11" s="112" t="s">
        <v>1094</v>
      </c>
      <c r="H11" s="111"/>
    </row>
    <row r="12" spans="1:8">
      <c r="A12" s="111"/>
      <c r="B12" s="111"/>
      <c r="C12" s="111"/>
      <c r="D12" s="111"/>
      <c r="E12" s="111"/>
      <c r="F12" s="112" t="s">
        <v>1096</v>
      </c>
      <c r="G12" s="484" t="s">
        <v>6597</v>
      </c>
      <c r="H12" s="111"/>
    </row>
    <row r="13" spans="1:8">
      <c r="A13" s="111"/>
      <c r="B13" s="111"/>
      <c r="C13" s="111"/>
      <c r="D13" s="111"/>
      <c r="E13" s="111"/>
      <c r="F13" s="111"/>
      <c r="G13" s="111" t="s">
        <v>6182</v>
      </c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447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</row>
    <row r="18" spans="1:9">
      <c r="A18" s="111"/>
      <c r="B18" s="111"/>
      <c r="C18" s="111"/>
      <c r="D18" s="2" t="s">
        <v>3650</v>
      </c>
      <c r="E18" s="2"/>
      <c r="F18" s="111"/>
      <c r="G18" s="111"/>
      <c r="H18" s="111"/>
      <c r="I18" s="242"/>
    </row>
    <row r="19" spans="1:9">
      <c r="A19" s="111"/>
      <c r="B19" s="111"/>
      <c r="C19" s="111"/>
      <c r="D19" s="111"/>
      <c r="E19" s="111"/>
      <c r="F19" s="111"/>
      <c r="G19" s="111"/>
      <c r="H19" s="111"/>
      <c r="I19" s="111"/>
    </row>
    <row r="20" spans="1:9">
      <c r="A20" s="485" t="s">
        <v>6587</v>
      </c>
      <c r="B20" s="116"/>
      <c r="C20" s="116"/>
      <c r="D20" s="111" t="s">
        <v>6598</v>
      </c>
      <c r="E20" s="111"/>
      <c r="F20" s="111"/>
      <c r="G20" s="111"/>
      <c r="H20" s="111">
        <v>120</v>
      </c>
      <c r="I20" s="111"/>
    </row>
    <row r="21" spans="1:9">
      <c r="A21" s="111"/>
      <c r="B21" s="111"/>
      <c r="C21" s="111"/>
      <c r="D21" s="483" t="s">
        <v>6599</v>
      </c>
      <c r="E21" s="111"/>
      <c r="F21" s="111"/>
      <c r="G21" s="111"/>
      <c r="H21" s="483">
        <v>120</v>
      </c>
      <c r="I21" s="111"/>
    </row>
    <row r="22" spans="1:9">
      <c r="A22" s="111"/>
      <c r="B22" s="111"/>
      <c r="C22" s="111"/>
      <c r="D22" s="483" t="s">
        <v>6600</v>
      </c>
      <c r="E22" s="111"/>
      <c r="F22" s="111"/>
      <c r="G22" s="111"/>
      <c r="H22" s="483">
        <v>120</v>
      </c>
      <c r="I22" s="111"/>
    </row>
    <row r="23" spans="1:9">
      <c r="A23" s="116"/>
      <c r="B23" s="121"/>
      <c r="C23" s="121"/>
      <c r="D23" s="483" t="s">
        <v>6601</v>
      </c>
      <c r="E23" s="111"/>
      <c r="F23" s="111"/>
      <c r="G23" s="111"/>
      <c r="H23" s="483">
        <v>120</v>
      </c>
      <c r="I23" s="111"/>
    </row>
    <row r="24" spans="1:9">
      <c r="A24" s="111"/>
      <c r="B24" s="111"/>
      <c r="C24" s="111"/>
      <c r="D24" s="483" t="s">
        <v>6602</v>
      </c>
      <c r="E24" s="111"/>
      <c r="F24" s="111"/>
      <c r="G24" s="111"/>
      <c r="H24" s="483">
        <v>120</v>
      </c>
      <c r="I24" s="111"/>
    </row>
    <row r="25" spans="1:9">
      <c r="A25" s="111"/>
      <c r="B25" s="111"/>
      <c r="C25" s="111"/>
      <c r="D25" s="111"/>
      <c r="E25" s="111"/>
      <c r="F25" s="111"/>
      <c r="G25" s="111"/>
      <c r="H25" s="483"/>
      <c r="I25" s="111"/>
    </row>
    <row r="26" spans="1:9">
      <c r="A26" s="116"/>
      <c r="B26" s="121"/>
      <c r="C26" s="121"/>
      <c r="D26" s="111"/>
      <c r="E26" s="111"/>
      <c r="F26" s="111"/>
      <c r="G26" s="111"/>
      <c r="H26" s="111"/>
    </row>
    <row r="27" spans="1:9">
      <c r="A27" s="111"/>
      <c r="B27" s="111"/>
      <c r="C27" s="111"/>
      <c r="D27" s="111"/>
      <c r="E27" s="111"/>
      <c r="F27" s="111"/>
      <c r="G27" s="111"/>
      <c r="H27" s="111"/>
    </row>
    <row r="28" spans="1:9">
      <c r="A28" s="111"/>
      <c r="B28" s="111"/>
      <c r="C28" s="111"/>
      <c r="D28" s="111"/>
      <c r="E28" s="111"/>
      <c r="F28" s="111"/>
      <c r="G28" s="111"/>
      <c r="H28" s="111"/>
    </row>
    <row r="29" spans="1:9">
      <c r="A29" s="123"/>
      <c r="B29" s="111"/>
      <c r="C29" s="111"/>
      <c r="D29" s="111"/>
      <c r="E29" s="111"/>
      <c r="F29" s="111"/>
      <c r="G29" s="111"/>
      <c r="H29" s="111"/>
    </row>
    <row r="30" spans="1:9">
      <c r="A30" s="111"/>
      <c r="B30" s="111"/>
      <c r="C30" s="111"/>
      <c r="D30" s="111"/>
      <c r="E30" s="111"/>
      <c r="F30" s="111"/>
      <c r="G30" s="111"/>
      <c r="H30" s="111"/>
    </row>
    <row r="31" spans="1:9">
      <c r="A31" s="123"/>
      <c r="B31" s="111"/>
      <c r="C31" s="111"/>
      <c r="D31" s="111"/>
      <c r="E31" s="111"/>
      <c r="F31" s="111"/>
      <c r="G31" s="111"/>
      <c r="H31" s="111"/>
    </row>
    <row r="32" spans="1:9" ht="13.5" thickBot="1">
      <c r="A32" s="111"/>
      <c r="B32" s="111"/>
      <c r="C32" s="111"/>
      <c r="D32" s="111"/>
      <c r="E32" s="111"/>
      <c r="F32" s="111"/>
      <c r="G32" s="111"/>
      <c r="H32" s="117">
        <f>SUM(H18:H31)</f>
        <v>600</v>
      </c>
    </row>
    <row r="33" spans="1:8" ht="13.5" thickTop="1">
      <c r="A33" s="111"/>
      <c r="B33" s="111"/>
      <c r="C33" s="111"/>
      <c r="D33" s="111"/>
      <c r="E33" s="111"/>
      <c r="F33" s="111"/>
      <c r="G33" s="111"/>
      <c r="H33" s="111"/>
    </row>
    <row r="34" spans="1:8" ht="20.100000000000001" customHeight="1">
      <c r="A34" s="118" t="s">
        <v>1133</v>
      </c>
      <c r="B34" s="202" t="str">
        <f>IF(OR(H32&gt;1000000,H32&lt;=0),"",IF(H32&lt;1000,"",IF(MOD(H32,1000000)&gt;=100000,INDEX(numbers,TRUNC(MOD(H32,1000000)/100000,0)+1)&amp;" Hundred","")&amp;IF(MOD(H32,100000)&gt;=20000," "&amp;INDEX(tens,TRUNC(MOD(H32,100000)/10000,0)+1)&amp;IF(MOD(MOD(H32,100000),10000)&gt;=1000,"-"&amp;INDEX(numbers,TRUNC(MOD(MOD(H32,100000),10000)/1000,0)+1),""),IF(MOD(H32,100000)&gt;=1000," "&amp;INDEX(numbers,TRUNC(MOD(H32,100000)/1000,0)+1),""))&amp;" Thousand") &amp; IF(H32&lt;1,"Zero Dollars",IF(MOD(H32,1000)&gt;=100," "&amp;INDEX(numbers,TRUNC(MOD(H32,1000)/100,0)+1)&amp;" Hundred","")&amp;IF(MOD(H32,100)&gt;=20," "&amp;INDEX(tens,TRUNC(MOD(H32,100)/10,0)+1)&amp;IF(MOD(MOD(H32,100),10)&gt;=1,"-"&amp;INDEX(numbers,TRUNC(MOD(MOD(H32,100),10),0)+1),""),IF(MOD(H32,100)&gt;=1," "&amp;INDEX(numbers,TRUNC(MOD(H32,100),0)+1),""))&amp;"") &amp; " and " &amp; IF(MOD(H32,1)&lt;0.005,"NO",ROUND(MOD(H32,1)*100,0)) &amp; "/100 -----------")</f>
        <v xml:space="preserve"> Six Hundred and NO/100 -----------</v>
      </c>
      <c r="C34" s="202"/>
      <c r="D34" s="119"/>
      <c r="E34" s="119"/>
      <c r="F34" s="119"/>
      <c r="G34" s="119"/>
      <c r="H34" s="119"/>
    </row>
    <row r="35" spans="1:8">
      <c r="A35" s="120" t="s">
        <v>11</v>
      </c>
      <c r="B35" s="111"/>
      <c r="C35" s="111"/>
      <c r="D35" s="111"/>
      <c r="E35" s="111"/>
      <c r="F35" s="111"/>
      <c r="G35" s="111"/>
      <c r="H35" s="111"/>
    </row>
    <row r="36" spans="1:8" ht="25.5">
      <c r="A36" s="126" t="s">
        <v>10</v>
      </c>
      <c r="B36" s="111"/>
      <c r="C36" s="111"/>
      <c r="D36" s="111"/>
      <c r="E36" s="111"/>
      <c r="F36" s="265" t="s">
        <v>2894</v>
      </c>
      <c r="G36" s="266"/>
      <c r="H36" s="267"/>
    </row>
    <row r="37" spans="1:8">
      <c r="A37" s="111"/>
      <c r="B37" s="111"/>
      <c r="C37" s="111"/>
      <c r="D37" s="111"/>
      <c r="E37" s="111"/>
      <c r="F37" s="111"/>
      <c r="G37" s="111"/>
      <c r="H37" s="111"/>
    </row>
    <row r="38" spans="1:8">
      <c r="A38" s="111"/>
      <c r="B38" s="111"/>
      <c r="C38" s="111"/>
      <c r="D38" s="111"/>
      <c r="E38" s="111"/>
      <c r="F38" s="111"/>
      <c r="G38" s="111"/>
      <c r="H38" s="111"/>
    </row>
    <row r="39" spans="1:8">
      <c r="A39" s="111"/>
      <c r="B39" s="111"/>
      <c r="C39" s="111"/>
      <c r="D39" s="121"/>
      <c r="E39" s="121"/>
      <c r="F39" s="111"/>
      <c r="G39" s="111"/>
      <c r="H39" s="111"/>
    </row>
    <row r="40" spans="1:8">
      <c r="A40" s="122"/>
      <c r="B40" s="122"/>
      <c r="C40" s="433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23" t="s">
        <v>8</v>
      </c>
      <c r="B42" s="111"/>
      <c r="C42" s="111"/>
      <c r="D42" s="123" t="s">
        <v>8</v>
      </c>
      <c r="E42" s="111"/>
      <c r="F42" s="123" t="s">
        <v>7</v>
      </c>
      <c r="G42" s="111"/>
      <c r="H42" s="124"/>
    </row>
    <row r="43" spans="1:8">
      <c r="A43" s="111"/>
      <c r="B43" s="111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11"/>
      <c r="B45" s="111"/>
      <c r="C45" s="111"/>
      <c r="D45" s="111"/>
      <c r="E45" s="111"/>
      <c r="F45" s="111"/>
      <c r="G45" s="111"/>
      <c r="H45" s="111"/>
    </row>
    <row r="46" spans="1:8">
      <c r="A46" s="122"/>
      <c r="B46" s="122"/>
      <c r="C46" s="433"/>
      <c r="D46" s="122"/>
      <c r="E46" s="111"/>
      <c r="F46" s="122"/>
      <c r="G46" s="122"/>
      <c r="H46" s="122"/>
    </row>
    <row r="47" spans="1:8" s="3" customFormat="1" ht="17.100000000000001" customHeight="1">
      <c r="A47" s="151" t="s">
        <v>2948</v>
      </c>
      <c r="B47" s="125"/>
      <c r="C47" s="125"/>
      <c r="D47" s="151" t="s">
        <v>103</v>
      </c>
      <c r="E47" s="126"/>
      <c r="F47" s="126" t="s">
        <v>3</v>
      </c>
      <c r="G47" s="126"/>
      <c r="H47" s="126"/>
    </row>
    <row r="48" spans="1:8">
      <c r="A48" s="111"/>
      <c r="B48" s="111"/>
      <c r="C48" s="111"/>
      <c r="D48" s="111"/>
      <c r="E48" s="111"/>
      <c r="F48" s="111" t="s">
        <v>2</v>
      </c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11"/>
      <c r="B50" s="111"/>
      <c r="C50" s="111"/>
      <c r="D50" s="111"/>
      <c r="E50" s="111"/>
      <c r="F50" s="2" t="s">
        <v>1</v>
      </c>
      <c r="G50" s="111"/>
      <c r="H50" s="111"/>
    </row>
    <row r="51" spans="1:8">
      <c r="A51" s="111"/>
      <c r="B51" s="111"/>
      <c r="C51" s="111"/>
      <c r="D51" s="111"/>
      <c r="E51" s="111"/>
      <c r="F51" s="2" t="s">
        <v>0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4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1-000000000000}">
  <sheetPr codeName="Sheet485">
    <pageSetUpPr fitToPage="1"/>
  </sheetPr>
  <dimension ref="A1:K64"/>
  <sheetViews>
    <sheetView topLeftCell="A32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6384" width="9.140625" style="1"/>
  </cols>
  <sheetData>
    <row r="1" spans="1:10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0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0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0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0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0">
      <c r="A9" s="111"/>
      <c r="B9" s="111"/>
      <c r="C9" s="111"/>
      <c r="D9" s="111"/>
      <c r="E9" s="111"/>
      <c r="F9" s="112" t="s">
        <v>22</v>
      </c>
      <c r="G9" s="131" t="s">
        <v>4646</v>
      </c>
      <c r="H9" s="111"/>
    </row>
    <row r="10" spans="1:10">
      <c r="A10" s="111" t="s">
        <v>4647</v>
      </c>
      <c r="B10" s="111"/>
      <c r="C10" s="111"/>
      <c r="D10" s="111"/>
      <c r="E10" s="111"/>
      <c r="F10" s="112" t="s">
        <v>21</v>
      </c>
      <c r="G10" s="131" t="s">
        <v>4645</v>
      </c>
      <c r="H10" s="111"/>
      <c r="J10" s="21"/>
    </row>
    <row r="11" spans="1:10">
      <c r="A11" s="111" t="s">
        <v>4648</v>
      </c>
      <c r="B11" s="111"/>
      <c r="C11" s="111"/>
      <c r="D11" s="111"/>
      <c r="E11" s="111"/>
      <c r="F11" s="112" t="s">
        <v>19</v>
      </c>
      <c r="G11" s="131" t="s">
        <v>1094</v>
      </c>
      <c r="H11" s="111"/>
      <c r="J11" s="336"/>
    </row>
    <row r="12" spans="1:10">
      <c r="A12" s="111" t="s">
        <v>4649</v>
      </c>
      <c r="B12" s="111"/>
      <c r="C12" s="111"/>
      <c r="D12" s="111"/>
      <c r="E12" s="111"/>
      <c r="F12" s="112" t="s">
        <v>17</v>
      </c>
      <c r="G12" s="131" t="s">
        <v>1270</v>
      </c>
      <c r="H12" s="111"/>
    </row>
    <row r="13" spans="1:10">
      <c r="A13" s="111" t="s">
        <v>4650</v>
      </c>
      <c r="B13" s="111"/>
      <c r="C13" s="111"/>
      <c r="D13" s="111"/>
      <c r="E13" s="111"/>
      <c r="F13" s="111"/>
      <c r="G13" s="131"/>
      <c r="H13" s="111"/>
    </row>
    <row r="14" spans="1:10">
      <c r="A14" s="111" t="s">
        <v>4651</v>
      </c>
      <c r="B14" s="111"/>
      <c r="C14" s="111"/>
      <c r="D14" s="111"/>
      <c r="E14" s="111"/>
      <c r="F14" s="111"/>
      <c r="G14" s="131"/>
      <c r="H14" s="111"/>
    </row>
    <row r="15" spans="1:10">
      <c r="A15" s="111"/>
      <c r="B15" s="111"/>
      <c r="C15" s="111"/>
      <c r="D15" s="111"/>
      <c r="E15" s="111"/>
      <c r="F15" s="111"/>
      <c r="G15" s="111"/>
      <c r="H15" s="111"/>
    </row>
    <row r="16" spans="1:10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11">
      <c r="A17" s="111"/>
      <c r="B17" s="111"/>
      <c r="C17" s="111"/>
      <c r="D17" s="111"/>
      <c r="E17" s="111"/>
      <c r="F17" s="111"/>
      <c r="G17" s="111"/>
      <c r="H17" s="111"/>
    </row>
    <row r="18" spans="1:11">
      <c r="A18" s="111"/>
      <c r="B18" s="111"/>
      <c r="C18" s="111"/>
      <c r="D18" s="2" t="s">
        <v>3116</v>
      </c>
      <c r="E18" s="2"/>
      <c r="F18" s="111"/>
      <c r="G18" s="111"/>
      <c r="H18" s="111"/>
      <c r="K18" s="337"/>
    </row>
    <row r="19" spans="1:11">
      <c r="A19" s="111"/>
      <c r="B19" s="111"/>
      <c r="C19" s="111"/>
      <c r="D19" s="2"/>
      <c r="E19" s="2"/>
      <c r="F19" s="111"/>
      <c r="G19" s="111"/>
      <c r="H19" s="111"/>
    </row>
    <row r="20" spans="1:11">
      <c r="A20" s="116" t="s">
        <v>4627</v>
      </c>
      <c r="B20" s="116" t="s">
        <v>4652</v>
      </c>
      <c r="C20" s="116"/>
      <c r="D20" s="111" t="s">
        <v>4653</v>
      </c>
      <c r="E20" s="111"/>
      <c r="F20" s="111"/>
      <c r="G20" s="111"/>
      <c r="H20" s="111">
        <f>10000*3.3142</f>
        <v>33142</v>
      </c>
    </row>
    <row r="21" spans="1:11">
      <c r="A21" s="111"/>
      <c r="B21" s="120"/>
      <c r="C21" s="120"/>
      <c r="D21" s="111"/>
      <c r="H21" s="111"/>
    </row>
    <row r="22" spans="1:11">
      <c r="A22" s="116"/>
      <c r="B22" s="116"/>
      <c r="C22" s="116"/>
      <c r="D22" s="111" t="s">
        <v>4654</v>
      </c>
      <c r="H22" s="111"/>
    </row>
    <row r="23" spans="1:11">
      <c r="A23" s="111"/>
      <c r="B23" s="120"/>
      <c r="C23" s="120"/>
    </row>
    <row r="24" spans="1:11">
      <c r="A24" s="116"/>
      <c r="B24" s="116"/>
      <c r="C24" s="116"/>
      <c r="D24" s="111" t="s">
        <v>1697</v>
      </c>
      <c r="E24" s="111"/>
      <c r="F24" s="111"/>
      <c r="G24" s="111"/>
      <c r="H24" s="111">
        <v>30</v>
      </c>
    </row>
    <row r="25" spans="1:11">
      <c r="A25" s="111"/>
      <c r="B25" s="111"/>
      <c r="C25" s="111"/>
      <c r="D25" s="111"/>
      <c r="E25" s="111"/>
      <c r="F25" s="111"/>
      <c r="G25" s="111"/>
      <c r="H25" s="111"/>
    </row>
    <row r="26" spans="1:11">
      <c r="A26" s="111"/>
      <c r="B26" s="120"/>
      <c r="C26" s="120"/>
      <c r="D26" s="111" t="s">
        <v>1814</v>
      </c>
      <c r="E26" s="111"/>
      <c r="H26" s="111">
        <f>H24*6%</f>
        <v>1.7999999999999998</v>
      </c>
    </row>
    <row r="27" spans="1:11">
      <c r="A27" s="111"/>
      <c r="B27" s="111"/>
      <c r="C27" s="111"/>
    </row>
    <row r="28" spans="1:11">
      <c r="A28" s="111"/>
      <c r="B28" s="111"/>
      <c r="C28" s="111"/>
    </row>
    <row r="29" spans="1:11">
      <c r="A29" s="111"/>
      <c r="B29" s="111"/>
      <c r="C29" s="111"/>
      <c r="D29" s="111"/>
      <c r="E29" s="111"/>
    </row>
    <row r="30" spans="1:11">
      <c r="A30" s="111"/>
      <c r="B30" s="120"/>
      <c r="C30" s="120"/>
    </row>
    <row r="31" spans="1:11">
      <c r="A31" s="111"/>
      <c r="B31" s="111"/>
      <c r="C31" s="111"/>
    </row>
    <row r="32" spans="1:11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11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SUM(H18:H33)</f>
        <v>33173.800000000003</v>
      </c>
    </row>
    <row r="36" spans="1:8" ht="13.5" thickTop="1">
      <c r="A36" s="111"/>
      <c r="B36" s="111"/>
      <c r="C36" s="111"/>
      <c r="D36" s="111"/>
      <c r="E36" s="111"/>
    </row>
    <row r="37" spans="1: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Thirty-Three Thousand One Hundred Seventy-Three and 80/100 -----------</v>
      </c>
      <c r="C37" s="204"/>
      <c r="D37" s="119"/>
      <c r="E37" s="119"/>
      <c r="F37" s="119"/>
      <c r="G37" s="119"/>
      <c r="H37" s="119"/>
    </row>
    <row r="38" spans="1:8" ht="20.100000000000001" customHeight="1">
      <c r="A38" s="160"/>
      <c r="B38" s="145"/>
      <c r="C38" s="145"/>
      <c r="D38" s="126"/>
      <c r="E38" s="126"/>
      <c r="F38" s="126"/>
      <c r="G38" s="126"/>
      <c r="H38" s="126"/>
    </row>
    <row r="39" spans="1:8" ht="25.5">
      <c r="A39" s="120" t="s">
        <v>3060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310"/>
      <c r="G40" s="311"/>
      <c r="H40" s="311"/>
    </row>
    <row r="41" spans="1:8"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4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1-000000000000}">
  <sheetPr codeName="Sheet487"/>
  <dimension ref="A1:G55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42578125" style="1" customWidth="1"/>
    <col min="2" max="2" width="12.140625" style="1" customWidth="1"/>
    <col min="3" max="3" width="23" style="1" customWidth="1"/>
    <col min="4" max="4" width="14.7109375" style="1" customWidth="1"/>
    <col min="5" max="5" width="10.5703125" style="1" customWidth="1"/>
    <col min="6" max="6" width="13.7109375" style="1" customWidth="1"/>
    <col min="7" max="16384" width="9.140625" style="1"/>
  </cols>
  <sheetData>
    <row r="1" spans="1:7" ht="15">
      <c r="A1" s="528" t="s">
        <v>26</v>
      </c>
      <c r="B1" s="528"/>
      <c r="C1" s="528"/>
      <c r="D1" s="528"/>
      <c r="E1" s="528"/>
      <c r="F1" s="528"/>
    </row>
    <row r="2" spans="1:7">
      <c r="A2" s="529" t="s">
        <v>25</v>
      </c>
      <c r="B2" s="529"/>
      <c r="C2" s="529"/>
      <c r="D2" s="529"/>
      <c r="E2" s="529"/>
      <c r="F2" s="529"/>
    </row>
    <row r="3" spans="1:7">
      <c r="A3" s="529" t="s">
        <v>1480</v>
      </c>
      <c r="B3" s="529"/>
      <c r="C3" s="529"/>
      <c r="D3" s="529"/>
      <c r="E3" s="529"/>
      <c r="F3" s="529"/>
    </row>
    <row r="4" spans="1:7">
      <c r="A4" s="529" t="s">
        <v>1481</v>
      </c>
      <c r="B4" s="529"/>
      <c r="C4" s="529"/>
      <c r="D4" s="529"/>
      <c r="E4" s="529"/>
      <c r="F4" s="529"/>
    </row>
    <row r="5" spans="1:7">
      <c r="A5" s="57"/>
      <c r="B5" s="57"/>
      <c r="C5" s="57"/>
      <c r="D5" s="57"/>
      <c r="E5" s="57"/>
      <c r="F5" s="57"/>
    </row>
    <row r="6" spans="1:7">
      <c r="A6" s="57"/>
      <c r="B6" s="57"/>
      <c r="C6" s="57"/>
      <c r="D6" s="57"/>
      <c r="E6" s="57"/>
      <c r="F6" s="57"/>
    </row>
    <row r="7" spans="1:7">
      <c r="A7" s="111" t="s">
        <v>24</v>
      </c>
      <c r="B7" s="57"/>
      <c r="C7" s="57"/>
      <c r="D7" s="57"/>
      <c r="E7" s="57"/>
      <c r="F7" s="57"/>
    </row>
    <row r="8" spans="1:7" s="111" customFormat="1" ht="12.75" customHeight="1">
      <c r="B8" s="113"/>
      <c r="C8" s="113"/>
      <c r="D8" s="22" t="s">
        <v>23</v>
      </c>
      <c r="F8" s="113"/>
    </row>
    <row r="9" spans="1:7" s="111" customFormat="1">
      <c r="A9" s="111" t="s">
        <v>4700</v>
      </c>
      <c r="D9" s="112" t="s">
        <v>1119</v>
      </c>
      <c r="E9" s="111" t="s">
        <v>4697</v>
      </c>
    </row>
    <row r="10" spans="1:7" s="111" customFormat="1">
      <c r="A10" s="111" t="s">
        <v>4701</v>
      </c>
      <c r="D10" s="112" t="s">
        <v>1121</v>
      </c>
      <c r="E10" s="112" t="s">
        <v>4693</v>
      </c>
    </row>
    <row r="11" spans="1:7" s="111" customFormat="1">
      <c r="A11" s="111" t="s">
        <v>1657</v>
      </c>
      <c r="D11" s="112" t="s">
        <v>1093</v>
      </c>
      <c r="E11" s="112" t="s">
        <v>1094</v>
      </c>
    </row>
    <row r="12" spans="1:7" s="111" customFormat="1">
      <c r="A12" s="111" t="s">
        <v>4702</v>
      </c>
      <c r="D12" s="112" t="s">
        <v>1120</v>
      </c>
      <c r="E12" s="112" t="s">
        <v>4698</v>
      </c>
    </row>
    <row r="13" spans="1:7" s="111" customFormat="1"/>
    <row r="14" spans="1:7" s="111" customFormat="1"/>
    <row r="15" spans="1:7" s="111" customFormat="1" ht="14.25">
      <c r="A15" s="113"/>
      <c r="B15" s="170"/>
      <c r="C15" s="113"/>
      <c r="D15" s="113"/>
      <c r="E15" s="113"/>
      <c r="F15" s="113"/>
      <c r="G15" s="111" t="s">
        <v>1034</v>
      </c>
    </row>
    <row r="16" spans="1:7" s="15" customFormat="1" ht="20.100000000000001" customHeight="1">
      <c r="A16" s="18" t="s">
        <v>1113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 s="111" customFormat="1" ht="14.25">
      <c r="A17" s="114"/>
      <c r="B17" s="170"/>
      <c r="C17" s="113"/>
      <c r="D17" s="113"/>
      <c r="E17" s="113"/>
      <c r="F17" s="113"/>
    </row>
    <row r="18" spans="1:7" s="111" customFormat="1">
      <c r="A18" s="116"/>
      <c r="B18" s="116"/>
      <c r="C18" s="2" t="s">
        <v>4703</v>
      </c>
    </row>
    <row r="19" spans="1:7">
      <c r="C19" s="111"/>
      <c r="F19" s="111"/>
    </row>
    <row r="20" spans="1:7">
      <c r="A20" s="116" t="s">
        <v>4699</v>
      </c>
      <c r="B20" s="121"/>
      <c r="C20" s="111" t="s">
        <v>4704</v>
      </c>
      <c r="D20" s="111"/>
      <c r="E20" s="111"/>
      <c r="F20" s="111">
        <v>986.29</v>
      </c>
    </row>
    <row r="21" spans="1:7" s="111" customFormat="1">
      <c r="A21" s="116"/>
      <c r="B21" s="121"/>
      <c r="C21" s="111" t="s">
        <v>3561</v>
      </c>
      <c r="F21" s="111">
        <v>98.629000000000005</v>
      </c>
    </row>
    <row r="22" spans="1:7" s="111" customFormat="1">
      <c r="A22" s="1"/>
      <c r="B22" s="1"/>
      <c r="C22" s="111" t="s">
        <v>1814</v>
      </c>
      <c r="D22" s="1"/>
      <c r="E22" s="1"/>
      <c r="F22" s="111">
        <v>65.099999999999994</v>
      </c>
    </row>
    <row r="23" spans="1:7" s="111" customFormat="1">
      <c r="A23" s="116"/>
      <c r="B23" s="121"/>
      <c r="C23" s="111" t="s">
        <v>4489</v>
      </c>
      <c r="F23" s="111">
        <v>-0.02</v>
      </c>
    </row>
    <row r="24" spans="1:7" s="111" customFormat="1">
      <c r="A24" s="116"/>
      <c r="B24" s="121"/>
      <c r="G24" s="167"/>
    </row>
    <row r="25" spans="1:7" s="111" customFormat="1">
      <c r="A25" s="298"/>
      <c r="B25" s="299"/>
      <c r="D25" s="167"/>
      <c r="E25" s="167"/>
      <c r="G25" s="167"/>
    </row>
    <row r="26" spans="1:7" s="111" customFormat="1">
      <c r="A26" s="116"/>
      <c r="B26" s="121"/>
      <c r="G26" s="167"/>
    </row>
    <row r="27" spans="1:7" s="111" customFormat="1">
      <c r="A27" s="300"/>
      <c r="B27" s="167"/>
      <c r="D27" s="167"/>
      <c r="E27" s="167"/>
      <c r="G27" s="167"/>
    </row>
    <row r="28" spans="1:7" s="111" customFormat="1">
      <c r="A28" s="116"/>
      <c r="B28" s="121"/>
      <c r="G28" s="167"/>
    </row>
    <row r="29" spans="1:7" s="111" customFormat="1"/>
    <row r="30" spans="1:7" s="111" customFormat="1">
      <c r="A30" s="116"/>
      <c r="B30" s="121"/>
    </row>
    <row r="31" spans="1:7" s="111" customFormat="1">
      <c r="A31" s="116"/>
      <c r="B31" s="121"/>
    </row>
    <row r="32" spans="1:7" s="111" customFormat="1">
      <c r="A32" s="116"/>
      <c r="B32" s="121"/>
    </row>
    <row r="33" spans="1:6" s="111" customFormat="1">
      <c r="A33" s="116"/>
      <c r="B33" s="121"/>
    </row>
    <row r="34" spans="1:6" s="111" customFormat="1">
      <c r="A34" s="116"/>
      <c r="B34" s="121"/>
    </row>
    <row r="35" spans="1:6" s="111" customFormat="1">
      <c r="A35" s="161"/>
      <c r="B35" s="116"/>
    </row>
    <row r="36" spans="1:6" s="111" customFormat="1" ht="13.5" thickBot="1">
      <c r="F36" s="117">
        <f>SUM(F18:F35)</f>
        <v>1149.9989999999998</v>
      </c>
    </row>
    <row r="37" spans="1:6" s="111" customFormat="1" ht="13.5" thickTop="1"/>
    <row r="38" spans="1:6" s="111" customFormat="1" ht="20.100000000000001" customHeight="1">
      <c r="A38" s="118" t="s">
        <v>204</v>
      </c>
      <c r="B38" s="202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One Thousand One Hundred Forty-Nine and 100/100 -----------</v>
      </c>
      <c r="C38" s="119"/>
      <c r="D38" s="119"/>
      <c r="E38" s="119"/>
      <c r="F38" s="119"/>
    </row>
    <row r="39" spans="1:6" s="111" customFormat="1">
      <c r="A39" s="120" t="s">
        <v>11</v>
      </c>
    </row>
    <row r="40" spans="1:6" s="111" customFormat="1" ht="25.5">
      <c r="A40" s="111" t="s">
        <v>10</v>
      </c>
      <c r="D40" s="265" t="s">
        <v>2894</v>
      </c>
      <c r="E40" s="266"/>
      <c r="F40" s="267"/>
    </row>
    <row r="41" spans="1:6" s="111" customFormat="1"/>
    <row r="42" spans="1:6" s="111" customFormat="1">
      <c r="A42" s="126"/>
    </row>
    <row r="43" spans="1:6">
      <c r="A43" s="111"/>
      <c r="B43" s="111"/>
      <c r="C43" s="121"/>
      <c r="D43" s="111"/>
      <c r="E43" s="111"/>
      <c r="F43" s="111"/>
    </row>
    <row r="44" spans="1:6">
      <c r="A44" s="122"/>
      <c r="B44" s="122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23" t="s">
        <v>8</v>
      </c>
      <c r="B46" s="111"/>
      <c r="C46" s="111"/>
      <c r="D46" s="123" t="s">
        <v>7</v>
      </c>
      <c r="E46" s="111"/>
      <c r="F46" s="124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11"/>
      <c r="B49" s="111"/>
      <c r="C49" s="111"/>
      <c r="D49" s="111"/>
      <c r="E49" s="111"/>
      <c r="F49" s="111"/>
    </row>
    <row r="50" spans="1:6">
      <c r="A50" s="122"/>
      <c r="B50" s="122"/>
      <c r="C50" s="111"/>
      <c r="D50" s="122"/>
      <c r="E50" s="122"/>
      <c r="F50" s="122"/>
    </row>
    <row r="51" spans="1:6" s="3" customFormat="1" ht="17.100000000000001" customHeight="1">
      <c r="A51" s="151" t="s">
        <v>2948</v>
      </c>
      <c r="B51" s="125"/>
      <c r="C51" s="126"/>
      <c r="D51" s="126" t="s">
        <v>3</v>
      </c>
      <c r="E51" s="126"/>
      <c r="F51" s="126"/>
    </row>
    <row r="52" spans="1:6">
      <c r="A52" s="111"/>
      <c r="B52" s="111"/>
      <c r="C52" s="111"/>
      <c r="D52" s="111" t="s">
        <v>2</v>
      </c>
      <c r="E52" s="111"/>
      <c r="F52" s="111"/>
    </row>
    <row r="53" spans="1:6">
      <c r="A53" s="275"/>
      <c r="B53" s="13"/>
      <c r="C53" s="13"/>
      <c r="D53" s="13"/>
      <c r="E53" s="13"/>
      <c r="F53" s="13"/>
    </row>
    <row r="54" spans="1:6">
      <c r="A54" s="13"/>
      <c r="B54" s="13"/>
      <c r="C54" s="13"/>
      <c r="D54" s="2" t="s">
        <v>1</v>
      </c>
      <c r="E54" s="13"/>
      <c r="F54" s="13"/>
    </row>
    <row r="55" spans="1:6">
      <c r="A55" s="13"/>
      <c r="B55" s="13"/>
      <c r="C55" s="13"/>
      <c r="D55" s="2" t="s">
        <v>0</v>
      </c>
      <c r="E55" s="13"/>
      <c r="F55" s="13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4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034B7-6E44-42FB-9244-1A7BD1B64152}">
  <sheetPr codeName="Sheet507">
    <pageSetUpPr fitToPage="1"/>
  </sheetPr>
  <dimension ref="A1:F57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5025</v>
      </c>
      <c r="F9" s="111"/>
    </row>
    <row r="10" spans="1:6">
      <c r="A10" s="111" t="s">
        <v>5027</v>
      </c>
      <c r="B10" s="111"/>
      <c r="C10" s="111"/>
      <c r="D10" s="112" t="s">
        <v>1162</v>
      </c>
      <c r="E10" s="112" t="s">
        <v>5016</v>
      </c>
      <c r="F10" s="111"/>
    </row>
    <row r="11" spans="1:6">
      <c r="A11" s="111" t="s">
        <v>5028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5029</v>
      </c>
      <c r="B12" s="111"/>
      <c r="C12" s="111"/>
      <c r="D12" s="112" t="s">
        <v>1135</v>
      </c>
      <c r="E12" s="120" t="s">
        <v>5026</v>
      </c>
      <c r="F12" s="111"/>
    </row>
    <row r="13" spans="1:6">
      <c r="A13" s="111" t="s">
        <v>5030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C18" s="2" t="s">
        <v>3650</v>
      </c>
    </row>
    <row r="20" spans="1:6">
      <c r="A20" s="116" t="s">
        <v>5031</v>
      </c>
      <c r="B20" s="116" t="s">
        <v>5032</v>
      </c>
      <c r="C20" s="111" t="s">
        <v>5033</v>
      </c>
      <c r="F20" s="111">
        <v>3600</v>
      </c>
    </row>
    <row r="21" spans="1:6">
      <c r="A21" s="116"/>
      <c r="B21" s="116"/>
      <c r="C21" s="111" t="s">
        <v>5034</v>
      </c>
      <c r="F21" s="111">
        <v>264.64999999999998</v>
      </c>
    </row>
    <row r="22" spans="1:6">
      <c r="A22" s="116"/>
      <c r="B22" s="116"/>
      <c r="C22" s="111"/>
      <c r="F22" s="111"/>
    </row>
    <row r="23" spans="1:6">
      <c r="C23" s="111"/>
    </row>
    <row r="24" spans="1:6">
      <c r="A24" s="116"/>
      <c r="B24" s="116"/>
      <c r="C24" s="111"/>
      <c r="F24" s="111"/>
    </row>
    <row r="25" spans="1:6">
      <c r="A25" s="116"/>
      <c r="B25" s="116"/>
      <c r="C25" s="111"/>
      <c r="F25" s="111"/>
    </row>
    <row r="26" spans="1:6">
      <c r="A26" s="116"/>
      <c r="B26" s="116"/>
      <c r="C26" s="111"/>
      <c r="F26" s="111"/>
    </row>
    <row r="27" spans="1:6">
      <c r="C27" s="2"/>
    </row>
    <row r="28" spans="1:6">
      <c r="A28" s="116"/>
      <c r="B28" s="116"/>
      <c r="C28" s="2"/>
      <c r="F28" s="111"/>
    </row>
    <row r="30" spans="1:6">
      <c r="A30" s="116"/>
      <c r="B30" s="116"/>
      <c r="C30" s="111"/>
      <c r="F30" s="111"/>
    </row>
    <row r="31" spans="1:6">
      <c r="A31" s="116"/>
      <c r="B31" s="116"/>
      <c r="C31" s="111"/>
      <c r="F31" s="111"/>
    </row>
    <row r="32" spans="1:6">
      <c r="C32" s="2"/>
    </row>
    <row r="33" spans="1:6">
      <c r="A33" s="116"/>
      <c r="B33" s="116"/>
      <c r="C33" s="111"/>
      <c r="F33" s="111"/>
    </row>
    <row r="34" spans="1:6">
      <c r="A34" s="116"/>
      <c r="B34" s="116"/>
      <c r="C34" s="111"/>
      <c r="F34" s="111"/>
    </row>
    <row r="35" spans="1:6">
      <c r="A35" s="111"/>
      <c r="B35" s="111"/>
      <c r="C35" s="111"/>
      <c r="D35" s="111"/>
      <c r="E35" s="111"/>
      <c r="F35" s="111"/>
    </row>
    <row r="36" spans="1:6" ht="13.5" thickBot="1">
      <c r="A36" s="111"/>
      <c r="B36" s="111"/>
      <c r="C36" s="111"/>
      <c r="D36" s="111"/>
      <c r="E36" s="111"/>
      <c r="F36" s="117">
        <f>SUM(F17:F35)</f>
        <v>3864.65</v>
      </c>
    </row>
    <row r="37" spans="1:6" ht="13.5" thickTop="1">
      <c r="A37" s="111"/>
      <c r="B37" s="111"/>
      <c r="C37" s="111"/>
      <c r="D37" s="111"/>
      <c r="E37" s="111"/>
      <c r="F37" s="111"/>
    </row>
    <row r="38" spans="1:6" ht="20.100000000000001" customHeight="1">
      <c r="A38" s="118" t="s">
        <v>1133</v>
      </c>
      <c r="B38" s="202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Three Thousand Eight Hundred Sixty-Four and 65/100 -----------</v>
      </c>
      <c r="C38" s="119"/>
      <c r="D38" s="119"/>
      <c r="E38" s="119"/>
      <c r="F38" s="119"/>
    </row>
    <row r="39" spans="1:6">
      <c r="A39" s="120" t="s">
        <v>11</v>
      </c>
      <c r="B39" s="111"/>
      <c r="C39" s="111"/>
      <c r="D39" s="111"/>
      <c r="E39" s="111"/>
      <c r="F39" s="111"/>
    </row>
    <row r="40" spans="1:6" ht="25.5">
      <c r="A40" s="126" t="s">
        <v>10</v>
      </c>
      <c r="B40" s="111"/>
      <c r="C40" s="111"/>
      <c r="D40" s="265" t="s">
        <v>2894</v>
      </c>
      <c r="E40" s="266"/>
      <c r="F40" s="267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11"/>
      <c r="B43" s="111"/>
      <c r="C43" s="121"/>
      <c r="D43" s="111"/>
      <c r="E43" s="111"/>
      <c r="F43" s="111"/>
    </row>
    <row r="44" spans="1:6">
      <c r="A44" s="122"/>
      <c r="B44" s="122"/>
      <c r="C44" s="111"/>
      <c r="D44" s="111"/>
      <c r="E44" s="111"/>
      <c r="F44" s="111"/>
    </row>
    <row r="45" spans="1:6">
      <c r="B45" s="111"/>
      <c r="C45" s="111"/>
      <c r="D45" s="111"/>
      <c r="E45" s="111"/>
      <c r="F45" s="111"/>
    </row>
    <row r="46" spans="1:6">
      <c r="A46" s="123" t="s">
        <v>8</v>
      </c>
      <c r="C46" s="111"/>
      <c r="D46" s="123" t="s">
        <v>7</v>
      </c>
      <c r="E46" s="111"/>
      <c r="F46" s="124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11"/>
      <c r="B49" s="111"/>
      <c r="C49" s="111"/>
      <c r="D49" s="111"/>
      <c r="E49" s="111"/>
      <c r="F49" s="111"/>
    </row>
    <row r="50" spans="1:6">
      <c r="A50" s="122"/>
      <c r="B50" s="122"/>
      <c r="C50" s="111"/>
      <c r="D50" s="122"/>
      <c r="E50" s="122"/>
      <c r="F50" s="122"/>
    </row>
    <row r="51" spans="1:6" s="3" customFormat="1" ht="17.100000000000001" customHeight="1">
      <c r="A51" s="151" t="s">
        <v>2948</v>
      </c>
      <c r="B51" s="125"/>
      <c r="C51" s="126"/>
      <c r="D51" s="126" t="s">
        <v>3</v>
      </c>
      <c r="E51" s="126"/>
      <c r="F51" s="126"/>
    </row>
    <row r="52" spans="1:6">
      <c r="A52" s="111"/>
      <c r="B52" s="111"/>
      <c r="C52" s="111"/>
      <c r="D52" s="111" t="s">
        <v>2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2" t="s">
        <v>1</v>
      </c>
      <c r="E54" s="111"/>
      <c r="F54" s="111"/>
    </row>
    <row r="55" spans="1:6">
      <c r="A55" s="111"/>
      <c r="B55" s="111"/>
      <c r="C55" s="111"/>
      <c r="D55" s="2" t="s">
        <v>0</v>
      </c>
      <c r="E55" s="111"/>
      <c r="F55" s="111"/>
    </row>
    <row r="56" spans="1:6">
      <c r="A56" s="111"/>
      <c r="B56" s="111"/>
      <c r="C56" s="111"/>
      <c r="D56" s="111"/>
      <c r="E56" s="111"/>
      <c r="F56" s="111"/>
    </row>
    <row r="57" spans="1:6">
      <c r="A57" s="111"/>
      <c r="B57" s="111"/>
      <c r="C57" s="111"/>
      <c r="D57" s="111"/>
      <c r="E57" s="111"/>
      <c r="F57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77">
    <pageSetUpPr fitToPage="1"/>
  </sheetPr>
  <dimension ref="A1:H56"/>
  <sheetViews>
    <sheetView zoomScaleNormal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" style="1" customWidth="1"/>
    <col min="4" max="4" width="28.42578125" style="1" customWidth="1"/>
    <col min="5" max="5" width="0.71093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11" t="s">
        <v>4781</v>
      </c>
      <c r="H9" s="111"/>
    </row>
    <row r="10" spans="1:8">
      <c r="A10" s="111" t="s">
        <v>4783</v>
      </c>
      <c r="B10" s="111"/>
      <c r="C10" s="111"/>
      <c r="D10" s="111"/>
      <c r="E10" s="111"/>
      <c r="F10" s="112" t="s">
        <v>1162</v>
      </c>
      <c r="G10" s="111" t="s">
        <v>4782</v>
      </c>
      <c r="H10" s="111"/>
    </row>
    <row r="11" spans="1:8">
      <c r="A11" s="111" t="s">
        <v>4784</v>
      </c>
      <c r="B11" s="111"/>
      <c r="C11" s="111"/>
      <c r="D11" s="111"/>
      <c r="E11" s="111"/>
      <c r="F11" s="112" t="s">
        <v>1163</v>
      </c>
      <c r="G11" s="111" t="s">
        <v>1094</v>
      </c>
      <c r="H11" s="111"/>
    </row>
    <row r="12" spans="1:8">
      <c r="A12" s="111" t="s">
        <v>4785</v>
      </c>
      <c r="B12" s="111"/>
      <c r="C12" s="111"/>
      <c r="D12" s="111"/>
      <c r="E12" s="111"/>
      <c r="F12" s="112" t="s">
        <v>1135</v>
      </c>
      <c r="G12" s="120" t="s">
        <v>1270</v>
      </c>
      <c r="H12" s="111"/>
    </row>
    <row r="13" spans="1:8">
      <c r="A13" s="111" t="s">
        <v>4786</v>
      </c>
      <c r="B13" s="111"/>
      <c r="C13" s="111"/>
      <c r="D13" s="111"/>
      <c r="E13" s="111"/>
      <c r="F13" s="111"/>
      <c r="G13" s="13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2" t="s">
        <v>4787</v>
      </c>
      <c r="E18" s="2"/>
      <c r="F18" s="111"/>
      <c r="G18" s="111"/>
      <c r="H18" s="111"/>
    </row>
    <row r="19" spans="1:8">
      <c r="A19" s="116"/>
      <c r="B19" s="116"/>
      <c r="C19" s="116"/>
      <c r="D19" s="111"/>
      <c r="E19" s="111"/>
      <c r="F19" s="111"/>
      <c r="G19" s="111"/>
      <c r="H19" s="111"/>
    </row>
    <row r="20" spans="1:8">
      <c r="A20" s="116" t="s">
        <v>4788</v>
      </c>
      <c r="B20" s="116" t="s">
        <v>4789</v>
      </c>
      <c r="C20" s="116"/>
      <c r="D20" s="111" t="s">
        <v>4790</v>
      </c>
      <c r="E20" s="111"/>
      <c r="F20" s="111"/>
      <c r="G20" s="111"/>
      <c r="H20" s="111">
        <f>3600*4.8904</f>
        <v>17605.439999999999</v>
      </c>
    </row>
    <row r="21" spans="1:8">
      <c r="A21" s="116"/>
      <c r="B21" s="116"/>
      <c r="C21" s="111"/>
      <c r="D21" s="111" t="s">
        <v>4791</v>
      </c>
      <c r="E21" s="111"/>
      <c r="F21" s="111"/>
      <c r="G21" s="111"/>
      <c r="H21" s="111">
        <f>3600*4.8904</f>
        <v>17605.439999999999</v>
      </c>
    </row>
    <row r="22" spans="1:8">
      <c r="A22" s="116"/>
      <c r="B22" s="116"/>
      <c r="C22" s="116"/>
      <c r="D22" s="111"/>
      <c r="E22" s="111"/>
      <c r="F22" s="111"/>
      <c r="G22" s="111"/>
      <c r="H22" s="111"/>
    </row>
    <row r="23" spans="1:8">
      <c r="A23" s="116"/>
      <c r="B23" s="116"/>
      <c r="C23" s="116"/>
      <c r="D23" s="111" t="s">
        <v>1697</v>
      </c>
      <c r="E23" s="111"/>
      <c r="F23" s="111"/>
      <c r="G23" s="111"/>
      <c r="H23" s="111">
        <v>30</v>
      </c>
    </row>
    <row r="24" spans="1:8">
      <c r="B24" s="116"/>
      <c r="C24" s="116"/>
      <c r="D24" s="111"/>
      <c r="E24" s="111"/>
      <c r="F24" s="111"/>
      <c r="G24" s="111"/>
      <c r="H24" s="111"/>
    </row>
    <row r="25" spans="1:8">
      <c r="B25" s="116"/>
      <c r="C25" s="116"/>
      <c r="D25" s="111" t="s">
        <v>1814</v>
      </c>
      <c r="E25" s="111"/>
      <c r="F25" s="111"/>
      <c r="G25" s="111"/>
      <c r="H25" s="111">
        <v>1.8</v>
      </c>
    </row>
    <row r="26" spans="1:8">
      <c r="A26" s="116"/>
      <c r="B26" s="116"/>
      <c r="C26" s="116"/>
      <c r="D26" s="111"/>
      <c r="E26" s="111"/>
      <c r="F26" s="111"/>
      <c r="G26" s="111"/>
      <c r="H26" s="111"/>
    </row>
    <row r="27" spans="1:8">
      <c r="A27" s="116"/>
      <c r="B27" s="116"/>
      <c r="C27" s="116"/>
      <c r="D27" s="111"/>
      <c r="E27" s="111"/>
      <c r="F27" s="111"/>
      <c r="G27" s="111"/>
      <c r="H27" s="111"/>
    </row>
    <row r="28" spans="1:8">
      <c r="A28" s="116"/>
      <c r="B28" s="116"/>
      <c r="C28" s="111"/>
      <c r="D28" s="111"/>
      <c r="E28" s="111"/>
      <c r="F28" s="111"/>
      <c r="G28" s="111"/>
      <c r="H28" s="111"/>
    </row>
    <row r="29" spans="1:8">
      <c r="A29" s="116"/>
      <c r="B29" s="116"/>
      <c r="C29" s="116"/>
      <c r="D29" s="111"/>
      <c r="E29" s="111"/>
      <c r="F29" s="111"/>
      <c r="G29" s="111"/>
      <c r="H29" s="111"/>
    </row>
    <row r="30" spans="1:8">
      <c r="B30" s="116"/>
      <c r="C30" s="116"/>
      <c r="D30" s="111"/>
      <c r="E30" s="111"/>
      <c r="F30" s="111"/>
      <c r="G30" s="111"/>
      <c r="H30" s="111"/>
    </row>
    <row r="31" spans="1:8">
      <c r="B31" s="116"/>
      <c r="C31" s="116"/>
    </row>
    <row r="32" spans="1:8">
      <c r="B32" s="116"/>
      <c r="C32" s="116"/>
    </row>
    <row r="33" spans="1:8">
      <c r="A33" s="116"/>
      <c r="B33" s="116"/>
      <c r="C33" s="116"/>
    </row>
    <row r="34" spans="1:8">
      <c r="A34" s="111"/>
      <c r="B34" s="111"/>
      <c r="C34" s="111"/>
      <c r="D34" s="111"/>
      <c r="E34" s="111"/>
      <c r="F34" s="111"/>
      <c r="G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35242.68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Thirty-Five Thousand Two Hundred Forty-Two and 68/100 -----------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95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5.5703125" style="111" customWidth="1"/>
    <col min="2" max="2" width="14.28515625" style="111" customWidth="1"/>
    <col min="3" max="3" width="1.5703125" style="111" customWidth="1"/>
    <col min="4" max="4" width="26.5703125" style="111" bestFit="1" customWidth="1"/>
    <col min="5" max="5" width="2" style="111" customWidth="1"/>
    <col min="6" max="6" width="17.42578125" style="111" customWidth="1"/>
    <col min="7" max="7" width="9.28515625" style="111" customWidth="1"/>
    <col min="8" max="8" width="13.28515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1716</v>
      </c>
      <c r="G9" s="111" t="s">
        <v>3984</v>
      </c>
    </row>
    <row r="10" spans="1:8">
      <c r="A10" s="111" t="s">
        <v>3535</v>
      </c>
      <c r="F10" s="112" t="s">
        <v>1162</v>
      </c>
      <c r="G10" s="123" t="s">
        <v>3985</v>
      </c>
    </row>
    <row r="11" spans="1:8">
      <c r="A11" s="111" t="s">
        <v>3536</v>
      </c>
      <c r="F11" s="112" t="s">
        <v>1163</v>
      </c>
      <c r="G11" s="123" t="s">
        <v>1094</v>
      </c>
    </row>
    <row r="12" spans="1:8">
      <c r="A12" s="111" t="s">
        <v>3537</v>
      </c>
      <c r="F12" s="112" t="s">
        <v>1096</v>
      </c>
      <c r="G12" s="112" t="s">
        <v>1270</v>
      </c>
    </row>
    <row r="13" spans="1:8">
      <c r="A13" s="111" t="s">
        <v>3538</v>
      </c>
    </row>
    <row r="14" spans="1:8">
      <c r="A14" s="111" t="s">
        <v>3539</v>
      </c>
    </row>
    <row r="16" spans="1:8" s="15" customFormat="1" ht="20.100000000000001" customHeight="1">
      <c r="A16" s="18" t="s">
        <v>1113</v>
      </c>
      <c r="B16" s="129" t="s">
        <v>1114</v>
      </c>
      <c r="C16" s="129"/>
      <c r="D16" s="19" t="s">
        <v>14</v>
      </c>
      <c r="E16" s="19"/>
      <c r="F16" s="18"/>
      <c r="G16" s="17"/>
      <c r="H16" s="16" t="s">
        <v>13</v>
      </c>
    </row>
    <row r="18" spans="1:8" ht="12.75" customHeight="1">
      <c r="A18" s="116"/>
      <c r="B18" s="313"/>
      <c r="C18" s="313"/>
      <c r="D18" s="2" t="s">
        <v>3540</v>
      </c>
      <c r="E18" s="2"/>
    </row>
    <row r="19" spans="1:8">
      <c r="A19" s="120"/>
      <c r="B19" s="313"/>
      <c r="C19" s="313"/>
    </row>
    <row r="20" spans="1:8">
      <c r="A20" s="116" t="s">
        <v>3926</v>
      </c>
      <c r="B20" s="116" t="s">
        <v>3986</v>
      </c>
      <c r="C20" s="116"/>
      <c r="D20" s="131" t="s">
        <v>3987</v>
      </c>
      <c r="E20" s="131"/>
      <c r="H20" s="111">
        <f>300000*12.3042/100</f>
        <v>36912.6</v>
      </c>
    </row>
    <row r="21" spans="1:8">
      <c r="A21" s="116"/>
      <c r="B21" s="241"/>
      <c r="C21" s="241"/>
      <c r="D21" s="131" t="s">
        <v>3541</v>
      </c>
      <c r="E21" s="131"/>
    </row>
    <row r="22" spans="1:8">
      <c r="A22" s="116"/>
      <c r="B22" s="241"/>
      <c r="C22" s="241"/>
      <c r="D22" s="131"/>
      <c r="E22" s="131"/>
    </row>
    <row r="23" spans="1:8">
      <c r="A23" s="116"/>
      <c r="B23" s="241"/>
      <c r="C23" s="241"/>
      <c r="D23" s="131" t="s">
        <v>3542</v>
      </c>
      <c r="E23" s="131"/>
      <c r="H23" s="111">
        <f>9675*12.3042/100</f>
        <v>1190.4313499999998</v>
      </c>
    </row>
    <row r="24" spans="1:8">
      <c r="A24" s="116"/>
      <c r="B24" s="241"/>
      <c r="C24" s="241"/>
      <c r="D24" s="131"/>
      <c r="E24" s="131"/>
    </row>
    <row r="25" spans="1:8">
      <c r="B25" s="314"/>
      <c r="C25" s="314"/>
      <c r="D25" s="111" t="s">
        <v>3543</v>
      </c>
      <c r="H25" s="111">
        <f>21677.25*12.3042/100</f>
        <v>2667.2121944999999</v>
      </c>
    </row>
    <row r="26" spans="1:8">
      <c r="A26" s="116"/>
      <c r="B26" s="313"/>
      <c r="C26" s="313"/>
      <c r="D26" s="131"/>
      <c r="E26" s="131"/>
    </row>
    <row r="27" spans="1:8">
      <c r="A27" s="120"/>
      <c r="B27" s="313"/>
      <c r="C27" s="313"/>
      <c r="D27" s="111" t="s">
        <v>1697</v>
      </c>
      <c r="H27" s="111">
        <v>30</v>
      </c>
    </row>
    <row r="28" spans="1:8">
      <c r="A28" s="116"/>
      <c r="B28" s="241"/>
      <c r="C28" s="241"/>
    </row>
    <row r="29" spans="1:8">
      <c r="D29" s="111" t="s">
        <v>1814</v>
      </c>
      <c r="H29" s="111">
        <f>H27*6%</f>
        <v>1.7999999999999998</v>
      </c>
    </row>
    <row r="31" spans="1:8">
      <c r="H31" s="2"/>
    </row>
    <row r="32" spans="1:8">
      <c r="B32" s="120"/>
      <c r="C32" s="120"/>
    </row>
    <row r="33" spans="1:8">
      <c r="B33" s="120"/>
      <c r="C33" s="120"/>
    </row>
    <row r="35" spans="1:8" ht="13.5" thickBot="1">
      <c r="H35" s="127">
        <f>SUM(H18:H34)</f>
        <v>40802.043544500004</v>
      </c>
    </row>
    <row r="36" spans="1:8" ht="13.5" thickTop="1"/>
    <row r="37" spans="1:8" ht="20.100000000000001" customHeight="1">
      <c r="A37" s="118" t="s">
        <v>1717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Forty Thousand Eight Hundred Two and 4/100 -----------</v>
      </c>
      <c r="C37" s="202"/>
      <c r="D37" s="119"/>
      <c r="E37" s="119"/>
      <c r="F37" s="119"/>
      <c r="G37" s="119"/>
      <c r="H37" s="119"/>
    </row>
    <row r="38" spans="1:8">
      <c r="A38" s="120"/>
    </row>
    <row r="39" spans="1:8" ht="25.5">
      <c r="A39" s="123" t="s">
        <v>10</v>
      </c>
      <c r="F39" s="265" t="s">
        <v>2894</v>
      </c>
      <c r="G39" s="266"/>
      <c r="H39" s="267"/>
    </row>
    <row r="40" spans="1:8">
      <c r="A40" s="123"/>
    </row>
    <row r="41" spans="1:8">
      <c r="A41" s="123"/>
      <c r="F41" s="309"/>
      <c r="G41" s="309"/>
      <c r="H41" s="309"/>
    </row>
    <row r="42" spans="1:8">
      <c r="A42" s="123"/>
      <c r="D42" s="121"/>
      <c r="E42" s="121"/>
      <c r="F42" s="310"/>
      <c r="G42" s="311"/>
      <c r="H42" s="311"/>
    </row>
    <row r="43" spans="1:8">
      <c r="A43" s="122"/>
      <c r="B43" s="122"/>
    </row>
    <row r="44" spans="1:8">
      <c r="A44" s="123"/>
    </row>
    <row r="45" spans="1:8">
      <c r="A45" s="123" t="s">
        <v>8</v>
      </c>
      <c r="D45" s="123" t="s">
        <v>8</v>
      </c>
      <c r="F45" s="123" t="s">
        <v>7</v>
      </c>
      <c r="H45" s="124"/>
    </row>
    <row r="46" spans="1:8">
      <c r="A46" s="123"/>
      <c r="D46" s="123"/>
    </row>
    <row r="47" spans="1:8">
      <c r="A47" s="123"/>
      <c r="D47" s="123"/>
    </row>
    <row r="48" spans="1:8">
      <c r="A48" s="123"/>
      <c r="D48" s="123"/>
    </row>
    <row r="49" spans="1:8">
      <c r="A49" s="150"/>
      <c r="B49" s="122"/>
      <c r="D49" s="150"/>
      <c r="F49" s="122"/>
      <c r="G49" s="122"/>
      <c r="H49" s="122"/>
    </row>
    <row r="50" spans="1:8" s="126" customFormat="1" ht="17.100000000000001" customHeight="1">
      <c r="A50" s="123" t="s">
        <v>2948</v>
      </c>
      <c r="B50" s="125"/>
      <c r="C50" s="125"/>
      <c r="D50" s="123" t="s">
        <v>103</v>
      </c>
      <c r="F50" s="126" t="s">
        <v>3</v>
      </c>
    </row>
    <row r="51" spans="1:8">
      <c r="A51" s="123"/>
      <c r="F51" s="111" t="s">
        <v>2</v>
      </c>
    </row>
    <row r="52" spans="1:8">
      <c r="A52" s="123"/>
    </row>
    <row r="53" spans="1:8">
      <c r="F53" s="2" t="s">
        <v>1</v>
      </c>
    </row>
    <row r="54" spans="1:8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8" orientation="portrait" r:id="rId1"/>
  <headerFooter alignWithMargins="0"/>
</worksheet>
</file>

<file path=xl/worksheets/sheet5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5A0CC-6AAB-4EE8-8396-FA504194D0B7}">
  <sheetPr codeName="Sheet511"/>
  <dimension ref="A1:G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5106</v>
      </c>
      <c r="F9" s="111"/>
    </row>
    <row r="10" spans="1:6">
      <c r="A10" s="111" t="s">
        <v>5108</v>
      </c>
      <c r="B10" s="111"/>
      <c r="C10" s="111"/>
      <c r="D10" s="112" t="s">
        <v>1162</v>
      </c>
      <c r="E10" s="123" t="s">
        <v>5104</v>
      </c>
      <c r="F10" s="111"/>
    </row>
    <row r="11" spans="1:6">
      <c r="A11" s="111" t="s">
        <v>5109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5110</v>
      </c>
      <c r="B12" s="111"/>
      <c r="C12" s="111"/>
      <c r="D12" s="112" t="s">
        <v>1096</v>
      </c>
      <c r="E12" s="112" t="s">
        <v>5107</v>
      </c>
      <c r="F12" s="111"/>
    </row>
    <row r="13" spans="1:6">
      <c r="A13" s="111" t="s">
        <v>5111</v>
      </c>
      <c r="B13" s="111"/>
      <c r="C13" s="111"/>
      <c r="D13" s="111"/>
      <c r="E13" s="111"/>
      <c r="F13" s="111"/>
    </row>
    <row r="14" spans="1:6">
      <c r="A14" s="111" t="s">
        <v>5112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 t="s">
        <v>5113</v>
      </c>
      <c r="D18" s="111"/>
      <c r="E18" s="111"/>
      <c r="F18" s="111"/>
      <c r="G18" s="242"/>
    </row>
    <row r="19" spans="1:7">
      <c r="A19" s="111"/>
      <c r="B19" s="111"/>
      <c r="C19" s="111"/>
      <c r="D19" s="111"/>
      <c r="E19" s="111"/>
      <c r="F19" s="111"/>
      <c r="G19" s="111"/>
    </row>
    <row r="20" spans="1:7">
      <c r="A20" s="116" t="s">
        <v>5051</v>
      </c>
      <c r="B20" s="116" t="s">
        <v>5114</v>
      </c>
      <c r="C20" s="111" t="s">
        <v>5115</v>
      </c>
      <c r="D20" s="111"/>
      <c r="E20" s="111"/>
      <c r="F20" s="111">
        <v>900</v>
      </c>
      <c r="G20" s="111"/>
    </row>
    <row r="21" spans="1:7">
      <c r="A21" s="111"/>
      <c r="B21" s="111"/>
      <c r="C21" s="111"/>
      <c r="D21" s="111"/>
      <c r="E21" s="111"/>
      <c r="F21" s="111"/>
      <c r="G21" s="111"/>
    </row>
    <row r="22" spans="1:7">
      <c r="A22" s="111"/>
      <c r="B22" s="111"/>
      <c r="C22" s="111"/>
      <c r="D22" s="111"/>
      <c r="E22" s="111"/>
      <c r="F22" s="111"/>
      <c r="G22" s="111"/>
    </row>
    <row r="23" spans="1:7">
      <c r="A23" s="111"/>
      <c r="B23" s="111"/>
      <c r="C23" s="111"/>
      <c r="D23" s="111"/>
      <c r="E23" s="111"/>
      <c r="F23" s="111"/>
      <c r="G23" s="111"/>
    </row>
    <row r="24" spans="1:7">
      <c r="A24" s="111"/>
      <c r="B24" s="111"/>
      <c r="C24" s="111"/>
      <c r="D24" s="111"/>
      <c r="E24" s="111"/>
      <c r="F24" s="111"/>
      <c r="G24" s="111"/>
    </row>
    <row r="25" spans="1:7">
      <c r="A25" s="111"/>
      <c r="B25" s="111"/>
      <c r="C25" s="2"/>
      <c r="D25" s="111"/>
      <c r="E25" s="111"/>
      <c r="F25" s="111"/>
      <c r="G25" s="111"/>
    </row>
    <row r="26" spans="1:7">
      <c r="A26" s="116"/>
      <c r="B26" s="121"/>
      <c r="C26" s="111"/>
      <c r="D26" s="111"/>
      <c r="E26" s="111"/>
      <c r="F26" s="111"/>
    </row>
    <row r="27" spans="1:7">
      <c r="A27" s="111"/>
      <c r="B27" s="111"/>
      <c r="C27" s="111"/>
      <c r="D27" s="111"/>
      <c r="E27" s="111"/>
      <c r="F27" s="111"/>
    </row>
    <row r="28" spans="1:7">
      <c r="A28" s="120"/>
      <c r="B28" s="111"/>
      <c r="C28" s="111"/>
      <c r="D28" s="111"/>
      <c r="E28" s="111"/>
      <c r="F28" s="111"/>
    </row>
    <row r="29" spans="1:7">
      <c r="A29" s="111"/>
      <c r="B29" s="111"/>
      <c r="C29" s="111"/>
      <c r="D29" s="111"/>
      <c r="E29" s="111"/>
      <c r="F29" s="111"/>
    </row>
    <row r="30" spans="1:7">
      <c r="A30" s="111"/>
      <c r="B30" s="111"/>
      <c r="C30" s="111"/>
      <c r="D30" s="111"/>
      <c r="E30" s="111"/>
      <c r="F30" s="111"/>
    </row>
    <row r="31" spans="1:7">
      <c r="A31" s="111"/>
      <c r="B31" s="111"/>
      <c r="C31" s="111"/>
      <c r="D31" s="111"/>
      <c r="E31" s="111"/>
      <c r="F31" s="111"/>
    </row>
    <row r="32" spans="1:7">
      <c r="A32" s="123"/>
      <c r="B32" s="111"/>
      <c r="C32" s="111"/>
      <c r="D32" s="111"/>
      <c r="E32" s="111"/>
      <c r="F32" s="111"/>
    </row>
    <row r="33" spans="1:6">
      <c r="A33" s="111"/>
      <c r="B33" s="111"/>
      <c r="C33" s="111"/>
      <c r="D33" s="111"/>
      <c r="E33" s="111"/>
      <c r="F33" s="111"/>
    </row>
    <row r="34" spans="1:6">
      <c r="A34" s="123"/>
      <c r="B34" s="111"/>
      <c r="C34" s="111"/>
      <c r="D34" s="111"/>
      <c r="E34" s="111"/>
      <c r="F34" s="111"/>
    </row>
    <row r="35" spans="1:6" ht="13.5" thickBot="1">
      <c r="A35" s="111"/>
      <c r="B35" s="111"/>
      <c r="C35" s="111"/>
      <c r="D35" s="111"/>
      <c r="E35" s="111"/>
      <c r="F35" s="117">
        <f>SUM(F20:F34)</f>
        <v>900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Nine Hundred and NO/100 -----------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A44" s="111"/>
      <c r="B44" s="111"/>
      <c r="C44" s="111"/>
      <c r="D44" s="111"/>
      <c r="E44" s="111"/>
      <c r="F44" s="111"/>
    </row>
    <row r="45" spans="1:6">
      <c r="A45" s="123" t="s">
        <v>8</v>
      </c>
      <c r="B45" s="111"/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5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3E333-1D6D-4B92-9402-BD4037CF6A07}">
  <sheetPr codeName="Sheet528"/>
  <dimension ref="A1:N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1.140625" style="1" customWidth="1"/>
    <col min="4" max="4" width="23" style="1" customWidth="1"/>
    <col min="5" max="5" width="1.28515625" style="1" customWidth="1"/>
    <col min="6" max="6" width="15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14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4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4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4">
      <c r="A4" s="530" t="s">
        <v>1481</v>
      </c>
      <c r="B4" s="530"/>
      <c r="C4" s="530"/>
      <c r="D4" s="530"/>
      <c r="E4" s="530"/>
      <c r="F4" s="530"/>
      <c r="G4" s="530"/>
      <c r="H4" s="530"/>
    </row>
    <row r="7" spans="1:14">
      <c r="J7" s="1" t="s">
        <v>5239</v>
      </c>
      <c r="K7" s="1">
        <v>43405</v>
      </c>
      <c r="M7" s="1" t="s">
        <v>1270</v>
      </c>
    </row>
    <row r="8" spans="1:14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4">
      <c r="A9" s="111"/>
      <c r="B9" s="111"/>
      <c r="C9" s="111"/>
      <c r="D9" s="111"/>
      <c r="E9" s="111"/>
      <c r="F9" s="112" t="s">
        <v>1127</v>
      </c>
      <c r="G9" s="111" t="s">
        <v>5239</v>
      </c>
      <c r="H9" s="111"/>
    </row>
    <row r="10" spans="1:14">
      <c r="A10" s="111" t="s">
        <v>5240</v>
      </c>
      <c r="B10" s="111"/>
      <c r="C10" s="111"/>
      <c r="D10" s="111"/>
      <c r="E10" s="111"/>
      <c r="F10" s="112" t="s">
        <v>1162</v>
      </c>
      <c r="G10" s="112" t="s">
        <v>5230</v>
      </c>
      <c r="H10" s="111"/>
      <c r="K10" s="1" t="s">
        <v>4800</v>
      </c>
      <c r="L10" s="1">
        <v>43161</v>
      </c>
      <c r="N10" s="1" t="s">
        <v>4801</v>
      </c>
    </row>
    <row r="11" spans="1:14">
      <c r="A11" s="111" t="s">
        <v>5241</v>
      </c>
      <c r="B11" s="111"/>
      <c r="C11" s="111"/>
      <c r="D11" s="111"/>
      <c r="E11" s="111"/>
      <c r="F11" s="112" t="s">
        <v>1163</v>
      </c>
      <c r="G11" s="112" t="s">
        <v>1094</v>
      </c>
      <c r="H11" s="111"/>
    </row>
    <row r="12" spans="1:14">
      <c r="A12" s="111" t="s">
        <v>5242</v>
      </c>
      <c r="B12" s="111"/>
      <c r="C12" s="111"/>
      <c r="D12" s="111"/>
      <c r="E12" s="111"/>
      <c r="F12" s="112" t="s">
        <v>1096</v>
      </c>
      <c r="G12" s="112" t="s">
        <v>1270</v>
      </c>
      <c r="H12" s="111"/>
    </row>
    <row r="13" spans="1:14">
      <c r="A13" s="111" t="s">
        <v>3749</v>
      </c>
      <c r="B13" s="111"/>
      <c r="C13" s="111"/>
      <c r="D13" s="111"/>
      <c r="E13" s="111"/>
      <c r="F13" s="111"/>
      <c r="G13" s="111"/>
      <c r="H13" s="111"/>
      <c r="K13" s="2" t="s">
        <v>4927</v>
      </c>
      <c r="L13" s="111"/>
      <c r="M13" s="111"/>
      <c r="N13" s="111"/>
    </row>
    <row r="14" spans="1:14">
      <c r="A14" s="111"/>
      <c r="B14" s="111"/>
      <c r="C14" s="111"/>
      <c r="D14" s="111"/>
      <c r="E14" s="111"/>
      <c r="F14" s="111"/>
      <c r="G14" s="111"/>
      <c r="H14" s="111"/>
      <c r="K14" s="2"/>
      <c r="L14" s="111"/>
      <c r="M14" s="111"/>
      <c r="N14" s="111"/>
    </row>
    <row r="15" spans="1:14">
      <c r="A15" s="111"/>
      <c r="B15" s="111"/>
      <c r="C15" s="111"/>
      <c r="D15" s="111"/>
      <c r="E15" s="111"/>
      <c r="F15" s="111"/>
      <c r="G15" s="111"/>
      <c r="H15" s="111"/>
      <c r="K15" s="111" t="s">
        <v>4667</v>
      </c>
      <c r="M15" s="111"/>
      <c r="N15" s="111">
        <f>1530</f>
        <v>1530</v>
      </c>
    </row>
    <row r="16" spans="1:14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K16" s="111" t="s">
        <v>1583</v>
      </c>
      <c r="L16" s="111"/>
      <c r="M16" s="111"/>
      <c r="N16" s="111">
        <v>500</v>
      </c>
    </row>
    <row r="17" spans="1:14">
      <c r="A17" s="111"/>
      <c r="B17" s="111"/>
      <c r="C17" s="111"/>
      <c r="D17" s="111"/>
      <c r="E17" s="111"/>
      <c r="F17" s="111"/>
      <c r="G17" s="111"/>
      <c r="H17" s="111"/>
      <c r="K17" s="111" t="s">
        <v>4518</v>
      </c>
      <c r="L17" s="111"/>
      <c r="M17" s="111"/>
      <c r="N17" s="111">
        <v>150</v>
      </c>
    </row>
    <row r="18" spans="1:14">
      <c r="D18" s="2" t="s">
        <v>5234</v>
      </c>
      <c r="E18" s="2"/>
      <c r="F18" s="111"/>
      <c r="G18" s="111"/>
      <c r="H18" s="111"/>
      <c r="I18" s="242"/>
      <c r="K18" s="111" t="s">
        <v>4928</v>
      </c>
      <c r="L18" s="111"/>
      <c r="M18" s="111"/>
      <c r="N18" s="111">
        <v>100</v>
      </c>
    </row>
    <row r="19" spans="1:14">
      <c r="A19" s="116"/>
      <c r="B19" s="241"/>
      <c r="C19" s="241"/>
      <c r="D19" s="2"/>
      <c r="E19" s="2"/>
      <c r="F19" s="111"/>
      <c r="G19" s="111"/>
      <c r="H19" s="111"/>
      <c r="I19" s="111"/>
      <c r="K19" s="111"/>
      <c r="L19" s="111"/>
      <c r="M19" s="111"/>
      <c r="N19" s="111"/>
    </row>
    <row r="20" spans="1:14">
      <c r="A20" s="116" t="s">
        <v>5243</v>
      </c>
      <c r="B20" s="241" t="s">
        <v>5244</v>
      </c>
      <c r="C20" s="241"/>
      <c r="D20" s="111" t="s">
        <v>5245</v>
      </c>
      <c r="E20" s="111"/>
      <c r="F20" s="111"/>
      <c r="G20" s="111"/>
      <c r="H20" s="111">
        <f>921888*0.037533</f>
        <v>34601.222303999995</v>
      </c>
      <c r="I20" s="111"/>
    </row>
    <row r="21" spans="1:14">
      <c r="A21" s="111"/>
      <c r="D21" s="111" t="s">
        <v>5246</v>
      </c>
      <c r="E21" s="111"/>
      <c r="G21" s="111"/>
      <c r="H21" s="111"/>
      <c r="I21" s="111"/>
    </row>
    <row r="22" spans="1:14">
      <c r="A22" s="120"/>
      <c r="B22" s="313"/>
      <c r="C22" s="313"/>
      <c r="D22" s="111" t="s">
        <v>5247</v>
      </c>
      <c r="E22" s="111"/>
      <c r="F22" s="111"/>
      <c r="G22" s="111"/>
      <c r="H22" s="111"/>
      <c r="I22" s="111"/>
    </row>
    <row r="23" spans="1:14">
      <c r="B23" s="241"/>
      <c r="C23" s="241"/>
      <c r="D23" s="111"/>
      <c r="E23" s="111"/>
      <c r="F23" s="111"/>
      <c r="G23" s="111"/>
      <c r="H23" s="111"/>
      <c r="I23" s="111"/>
    </row>
    <row r="24" spans="1:14">
      <c r="A24" s="111"/>
      <c r="B24" s="111"/>
      <c r="C24" s="111"/>
      <c r="D24" s="111" t="s">
        <v>1697</v>
      </c>
      <c r="E24" s="111"/>
      <c r="F24" s="111"/>
      <c r="G24" s="111"/>
      <c r="H24" s="111">
        <v>30</v>
      </c>
      <c r="I24" s="111"/>
    </row>
    <row r="25" spans="1:14">
      <c r="A25" s="116"/>
      <c r="B25" s="241"/>
      <c r="C25" s="241"/>
      <c r="D25" s="111"/>
      <c r="E25" s="111"/>
      <c r="F25" s="111"/>
      <c r="G25" s="111"/>
      <c r="H25" s="111"/>
    </row>
    <row r="26" spans="1:14">
      <c r="A26" s="111"/>
      <c r="B26" s="241"/>
      <c r="C26" s="241"/>
      <c r="D26" s="111"/>
      <c r="E26" s="111"/>
      <c r="F26" s="111"/>
      <c r="G26" s="111"/>
      <c r="H26" s="111"/>
    </row>
    <row r="27" spans="1:14">
      <c r="A27" s="120"/>
      <c r="B27" s="314"/>
      <c r="C27" s="314"/>
      <c r="D27" s="2"/>
      <c r="E27" s="2"/>
      <c r="F27" s="111"/>
      <c r="G27" s="111"/>
      <c r="H27" s="111"/>
    </row>
    <row r="28" spans="1:14">
      <c r="D28" s="111"/>
      <c r="E28" s="111"/>
      <c r="G28" s="111"/>
      <c r="H28" s="111"/>
    </row>
    <row r="29" spans="1:14">
      <c r="A29" s="120"/>
      <c r="B29" s="313"/>
      <c r="C29" s="313"/>
      <c r="D29" s="111"/>
      <c r="E29" s="111"/>
      <c r="F29" s="111"/>
      <c r="G29" s="111"/>
      <c r="H29" s="111"/>
    </row>
    <row r="30" spans="1:14">
      <c r="A30" s="120"/>
      <c r="B30" s="241"/>
      <c r="C30" s="241"/>
      <c r="D30" s="111"/>
      <c r="E30" s="111"/>
      <c r="F30" s="111"/>
      <c r="G30" s="111"/>
      <c r="H30" s="111"/>
    </row>
    <row r="31" spans="1:14">
      <c r="A31" s="123"/>
      <c r="B31" s="111"/>
      <c r="C31" s="111"/>
      <c r="D31" s="111"/>
      <c r="E31" s="111"/>
      <c r="F31" s="111"/>
      <c r="G31" s="111"/>
      <c r="H31" s="111"/>
    </row>
    <row r="32" spans="1:14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23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34631.222303999995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Thirty-Four Thousand Six Hundred Thirty-One and 22/100 -----------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5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6C26E-5E66-4038-98DB-185B03B99C50}">
  <sheetPr codeName="Sheet529"/>
  <dimension ref="A1:L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12" ht="15">
      <c r="A1" s="528" t="s">
        <v>26</v>
      </c>
      <c r="B1" s="528"/>
      <c r="C1" s="528"/>
      <c r="D1" s="528"/>
      <c r="E1" s="528"/>
      <c r="F1" s="528"/>
    </row>
    <row r="2" spans="1:12">
      <c r="A2" s="530" t="s">
        <v>25</v>
      </c>
      <c r="B2" s="530"/>
      <c r="C2" s="530"/>
      <c r="D2" s="530"/>
      <c r="E2" s="530"/>
      <c r="F2" s="530"/>
    </row>
    <row r="3" spans="1:12">
      <c r="A3" s="530" t="s">
        <v>1480</v>
      </c>
      <c r="B3" s="530"/>
      <c r="C3" s="530"/>
      <c r="D3" s="530"/>
      <c r="E3" s="530"/>
      <c r="F3" s="530"/>
    </row>
    <row r="4" spans="1:12">
      <c r="A4" s="530" t="s">
        <v>1481</v>
      </c>
      <c r="B4" s="530"/>
      <c r="C4" s="530"/>
      <c r="D4" s="530"/>
      <c r="E4" s="530"/>
      <c r="F4" s="530"/>
    </row>
    <row r="8" spans="1:12">
      <c r="A8" s="111" t="s">
        <v>24</v>
      </c>
      <c r="B8" s="111"/>
      <c r="C8" s="111"/>
      <c r="D8" s="22" t="s">
        <v>23</v>
      </c>
      <c r="E8" s="111"/>
      <c r="F8" s="111"/>
    </row>
    <row r="9" spans="1:12">
      <c r="A9" s="111"/>
      <c r="B9" s="111"/>
      <c r="C9" s="111"/>
      <c r="D9" s="112" t="s">
        <v>1127</v>
      </c>
      <c r="E9" s="132" t="s">
        <v>5278</v>
      </c>
      <c r="F9" s="111"/>
      <c r="L9" s="1" t="s">
        <v>5279</v>
      </c>
    </row>
    <row r="10" spans="1:12">
      <c r="A10" s="111" t="s">
        <v>5280</v>
      </c>
      <c r="B10" s="111"/>
      <c r="C10" s="111"/>
      <c r="D10" s="112" t="s">
        <v>1162</v>
      </c>
      <c r="E10" s="132" t="s">
        <v>5220</v>
      </c>
      <c r="F10" s="111"/>
    </row>
    <row r="11" spans="1:12">
      <c r="A11" s="111" t="s">
        <v>5281</v>
      </c>
      <c r="B11" s="111"/>
      <c r="C11" s="111"/>
      <c r="D11" s="112" t="s">
        <v>1163</v>
      </c>
      <c r="E11" s="132" t="s">
        <v>1094</v>
      </c>
      <c r="F11" s="111"/>
    </row>
    <row r="12" spans="1:12">
      <c r="A12" s="111" t="s">
        <v>5282</v>
      </c>
      <c r="B12" s="111"/>
      <c r="C12" s="111"/>
      <c r="D12" s="112" t="s">
        <v>1096</v>
      </c>
      <c r="E12" s="120" t="s">
        <v>5279</v>
      </c>
      <c r="F12" s="111"/>
    </row>
    <row r="13" spans="1:12">
      <c r="A13" s="111" t="s">
        <v>5283</v>
      </c>
      <c r="B13" s="111"/>
      <c r="C13" s="111"/>
      <c r="D13" s="111"/>
      <c r="E13" s="111"/>
      <c r="F13" s="111"/>
    </row>
    <row r="14" spans="1:12">
      <c r="A14" s="111" t="s">
        <v>5284</v>
      </c>
      <c r="B14" s="111"/>
      <c r="C14" s="111"/>
      <c r="D14" s="111"/>
      <c r="E14" s="111"/>
      <c r="F14" s="111"/>
    </row>
    <row r="15" spans="1:12">
      <c r="A15" s="111"/>
      <c r="B15" s="111"/>
      <c r="C15" s="111"/>
      <c r="D15" s="111"/>
      <c r="E15" s="111"/>
      <c r="F15" s="111"/>
    </row>
    <row r="16" spans="1:12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 t="s">
        <v>3230</v>
      </c>
      <c r="D18" s="111"/>
      <c r="E18" s="111"/>
      <c r="F18" s="111"/>
      <c r="G18" s="242"/>
    </row>
    <row r="19" spans="1:7">
      <c r="A19" s="111"/>
      <c r="B19" s="111"/>
      <c r="C19" s="111"/>
      <c r="D19" s="111"/>
      <c r="E19" s="111"/>
      <c r="F19" s="111"/>
      <c r="G19" s="111"/>
    </row>
    <row r="20" spans="1:7">
      <c r="A20" s="116" t="s">
        <v>5285</v>
      </c>
      <c r="B20" s="116"/>
      <c r="C20" s="111" t="s">
        <v>5286</v>
      </c>
      <c r="D20" s="111"/>
      <c r="E20" s="111"/>
      <c r="F20" s="111">
        <v>1200</v>
      </c>
      <c r="G20" s="111"/>
    </row>
    <row r="21" spans="1:7">
      <c r="A21" s="111"/>
      <c r="B21" s="111"/>
      <c r="C21" s="111"/>
      <c r="D21" s="111"/>
      <c r="E21" s="111"/>
      <c r="F21" s="111"/>
      <c r="G21" s="111"/>
    </row>
    <row r="22" spans="1:7">
      <c r="A22" s="111"/>
      <c r="B22" s="111"/>
      <c r="C22" s="2" t="s">
        <v>4271</v>
      </c>
      <c r="D22" s="111"/>
      <c r="E22" s="111"/>
      <c r="F22" s="111"/>
      <c r="G22" s="111"/>
    </row>
    <row r="23" spans="1:7">
      <c r="A23" s="111"/>
      <c r="B23" s="111"/>
      <c r="D23" s="111"/>
      <c r="E23" s="111"/>
      <c r="F23" s="111"/>
      <c r="G23" s="111"/>
    </row>
    <row r="24" spans="1:7">
      <c r="A24" s="116" t="s">
        <v>5285</v>
      </c>
      <c r="B24" s="111"/>
      <c r="C24" s="111" t="s">
        <v>5286</v>
      </c>
      <c r="D24" s="111"/>
      <c r="E24" s="111"/>
      <c r="F24" s="111">
        <v>1200</v>
      </c>
      <c r="G24" s="111"/>
    </row>
    <row r="25" spans="1:7">
      <c r="A25" s="111"/>
      <c r="B25" s="111"/>
      <c r="C25" s="2"/>
      <c r="D25" s="111"/>
      <c r="E25" s="111"/>
      <c r="F25" s="111"/>
      <c r="G25" s="111"/>
    </row>
    <row r="26" spans="1:7">
      <c r="A26" s="116"/>
      <c r="B26" s="121"/>
      <c r="C26" s="111"/>
      <c r="D26" s="111"/>
      <c r="E26" s="111"/>
      <c r="F26" s="111"/>
    </row>
    <row r="27" spans="1:7">
      <c r="A27" s="111"/>
      <c r="B27" s="111"/>
      <c r="C27" s="111"/>
      <c r="D27" s="111"/>
      <c r="E27" s="111"/>
      <c r="F27" s="111"/>
    </row>
    <row r="28" spans="1:7">
      <c r="A28" s="120"/>
      <c r="B28" s="111"/>
      <c r="C28" s="111"/>
      <c r="D28" s="111"/>
      <c r="E28" s="111"/>
      <c r="F28" s="111"/>
    </row>
    <row r="29" spans="1:7">
      <c r="A29" s="111"/>
      <c r="B29" s="111"/>
      <c r="C29" s="111"/>
      <c r="D29" s="111"/>
      <c r="E29" s="111"/>
      <c r="F29" s="111"/>
    </row>
    <row r="30" spans="1:7">
      <c r="A30" s="111"/>
      <c r="B30" s="111"/>
      <c r="C30" s="111"/>
      <c r="D30" s="111"/>
      <c r="E30" s="111"/>
      <c r="F30" s="111"/>
    </row>
    <row r="31" spans="1:7">
      <c r="A31" s="111"/>
      <c r="B31" s="111"/>
      <c r="C31" s="111"/>
      <c r="D31" s="111"/>
      <c r="E31" s="111"/>
      <c r="F31" s="111"/>
    </row>
    <row r="32" spans="1:7">
      <c r="A32" s="123"/>
      <c r="B32" s="111"/>
      <c r="C32" s="111"/>
      <c r="D32" s="111"/>
      <c r="E32" s="111"/>
      <c r="F32" s="111"/>
    </row>
    <row r="33" spans="1:6">
      <c r="A33" s="111"/>
      <c r="B33" s="111"/>
      <c r="C33" s="111"/>
      <c r="D33" s="111"/>
      <c r="E33" s="111"/>
      <c r="F33" s="111"/>
    </row>
    <row r="34" spans="1:6">
      <c r="A34" s="123"/>
      <c r="B34" s="111"/>
      <c r="C34" s="111"/>
      <c r="D34" s="111"/>
      <c r="E34" s="111"/>
      <c r="F34" s="111"/>
    </row>
    <row r="35" spans="1:6" ht="13.5" thickBot="1">
      <c r="A35" s="111"/>
      <c r="B35" s="111"/>
      <c r="C35" s="111"/>
      <c r="D35" s="111"/>
      <c r="E35" s="111"/>
      <c r="F35" s="117">
        <f>SUM(F20:F34)</f>
        <v>2400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Four Hundred and NO/100 -----------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A44" s="111"/>
      <c r="B44" s="111"/>
      <c r="C44" s="111"/>
      <c r="D44" s="111"/>
      <c r="E44" s="111"/>
      <c r="F44" s="111"/>
    </row>
    <row r="45" spans="1:6">
      <c r="A45" s="123" t="s">
        <v>8</v>
      </c>
      <c r="B45" s="111"/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5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12EE-C54C-4D92-A01C-F31C9B07A856}">
  <sheetPr codeName="Sheet530">
    <pageSetUpPr fitToPage="1"/>
  </sheetPr>
  <dimension ref="A1:O64"/>
  <sheetViews>
    <sheetView topLeftCell="A7" zoomScaleNormal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4" width="9.140625" style="1"/>
    <col min="15" max="15" width="10.5703125" style="1" bestFit="1" customWidth="1"/>
    <col min="16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5">
      <c r="A9" s="111"/>
      <c r="B9" s="111"/>
      <c r="C9" s="111"/>
      <c r="D9" s="111"/>
      <c r="E9" s="111"/>
      <c r="F9" s="112" t="s">
        <v>22</v>
      </c>
      <c r="G9" s="131" t="s">
        <v>5355</v>
      </c>
      <c r="H9" s="111"/>
      <c r="I9" s="1" t="s">
        <v>5344</v>
      </c>
      <c r="J9" s="1">
        <v>43438</v>
      </c>
      <c r="L9" s="1" t="s">
        <v>1270</v>
      </c>
    </row>
    <row r="10" spans="1:15">
      <c r="A10" s="111" t="s">
        <v>5356</v>
      </c>
      <c r="B10" s="111"/>
      <c r="C10" s="111"/>
      <c r="D10" s="111"/>
      <c r="E10" s="111"/>
      <c r="F10" s="112" t="s">
        <v>21</v>
      </c>
      <c r="G10" s="131" t="s">
        <v>5290</v>
      </c>
      <c r="H10" s="111"/>
      <c r="J10" s="21"/>
      <c r="K10" s="111" t="s">
        <v>5345</v>
      </c>
      <c r="L10" s="111"/>
      <c r="M10" s="111"/>
    </row>
    <row r="11" spans="1:15">
      <c r="A11" s="111" t="s">
        <v>5357</v>
      </c>
      <c r="B11" s="111"/>
      <c r="C11" s="111"/>
      <c r="D11" s="111"/>
      <c r="E11" s="111"/>
      <c r="F11" s="112" t="s">
        <v>19</v>
      </c>
      <c r="G11" s="131" t="s">
        <v>1094</v>
      </c>
      <c r="H11" s="111"/>
      <c r="J11" s="336"/>
      <c r="K11" s="111" t="s">
        <v>5346</v>
      </c>
    </row>
    <row r="12" spans="1:15">
      <c r="A12" s="111" t="s">
        <v>5358</v>
      </c>
      <c r="B12" s="111"/>
      <c r="C12" s="111"/>
      <c r="D12" s="111"/>
      <c r="E12" s="111"/>
      <c r="F12" s="112" t="s">
        <v>17</v>
      </c>
      <c r="G12" s="131" t="s">
        <v>1270</v>
      </c>
      <c r="H12" s="111"/>
      <c r="K12" s="111"/>
    </row>
    <row r="13" spans="1:15">
      <c r="A13" s="111" t="s">
        <v>5359</v>
      </c>
      <c r="B13" s="111"/>
      <c r="C13" s="111"/>
      <c r="D13" s="111"/>
      <c r="E13" s="111"/>
      <c r="F13" s="111"/>
      <c r="G13" s="131"/>
      <c r="H13" s="111"/>
      <c r="K13" s="111" t="s">
        <v>1697</v>
      </c>
    </row>
    <row r="14" spans="1:15">
      <c r="A14" s="111"/>
      <c r="B14" s="111"/>
      <c r="C14" s="111"/>
      <c r="D14" s="111"/>
      <c r="E14" s="111"/>
      <c r="F14" s="111"/>
      <c r="G14" s="131"/>
      <c r="H14" s="111"/>
    </row>
    <row r="15" spans="1:15">
      <c r="A15" s="111"/>
      <c r="B15" s="111"/>
      <c r="C15" s="111"/>
      <c r="D15" s="111"/>
      <c r="E15" s="111"/>
      <c r="F15" s="111"/>
      <c r="G15" s="111"/>
      <c r="H15" s="111"/>
      <c r="K15" s="111" t="s">
        <v>5347</v>
      </c>
      <c r="L15" s="111"/>
      <c r="M15" s="111"/>
      <c r="N15" s="111"/>
      <c r="O15" s="111">
        <f>4050*2.9926996</f>
        <v>12120.43338</v>
      </c>
    </row>
    <row r="16" spans="1:15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K16" s="111"/>
      <c r="L16" s="1"/>
      <c r="M16" s="1"/>
      <c r="N16" s="1"/>
      <c r="O16" s="111"/>
    </row>
    <row r="17" spans="1:15">
      <c r="A17" s="111"/>
      <c r="B17" s="111"/>
      <c r="C17" s="111"/>
      <c r="D17" s="111"/>
      <c r="E17" s="111"/>
      <c r="F17" s="111"/>
      <c r="G17" s="111"/>
      <c r="H17" s="111"/>
      <c r="K17" s="111" t="s">
        <v>5348</v>
      </c>
      <c r="O17" s="111"/>
    </row>
    <row r="18" spans="1:15">
      <c r="A18" s="111"/>
      <c r="B18" s="111"/>
      <c r="C18" s="111"/>
      <c r="D18" s="2" t="s">
        <v>5361</v>
      </c>
      <c r="E18" s="2"/>
      <c r="F18" s="111"/>
      <c r="G18" s="111"/>
      <c r="H18" s="111"/>
    </row>
    <row r="19" spans="1:15">
      <c r="A19" s="111"/>
      <c r="B19" s="111"/>
      <c r="C19" s="111"/>
      <c r="D19" s="2"/>
      <c r="E19" s="2"/>
      <c r="F19" s="111"/>
      <c r="G19" s="111"/>
      <c r="H19" s="111"/>
      <c r="K19" s="111" t="s">
        <v>5349</v>
      </c>
      <c r="L19" s="111"/>
      <c r="M19" s="111"/>
      <c r="N19" s="111"/>
      <c r="O19" s="111">
        <f>9300*2.9926996</f>
        <v>27832.10628</v>
      </c>
    </row>
    <row r="20" spans="1:15">
      <c r="A20" s="116" t="s">
        <v>5287</v>
      </c>
      <c r="B20" s="116" t="s">
        <v>5360</v>
      </c>
      <c r="C20" s="116"/>
      <c r="D20" s="111" t="s">
        <v>5362</v>
      </c>
      <c r="E20" s="111"/>
      <c r="F20" s="111"/>
      <c r="G20" s="111"/>
      <c r="H20" s="111">
        <f>2090.5*3.0734</f>
        <v>6424.9426999999996</v>
      </c>
      <c r="K20" s="111"/>
      <c r="L20" s="111"/>
      <c r="M20" s="111"/>
      <c r="N20" s="111"/>
      <c r="O20" s="111"/>
    </row>
    <row r="21" spans="1:15">
      <c r="A21" s="111"/>
      <c r="B21" s="120"/>
      <c r="C21" s="120"/>
      <c r="D21" s="111" t="s">
        <v>5363</v>
      </c>
      <c r="H21" s="111"/>
      <c r="K21" s="111" t="s">
        <v>5350</v>
      </c>
      <c r="L21" s="111"/>
      <c r="O21" s="111"/>
    </row>
    <row r="22" spans="1:15">
      <c r="A22" s="116"/>
      <c r="B22" s="116"/>
      <c r="C22" s="116"/>
      <c r="D22" s="111"/>
      <c r="H22" s="111"/>
    </row>
    <row r="23" spans="1:15">
      <c r="A23" s="116"/>
      <c r="B23" s="116"/>
      <c r="C23" s="120"/>
      <c r="D23" s="111" t="s">
        <v>1697</v>
      </c>
      <c r="H23" s="111">
        <v>10</v>
      </c>
      <c r="K23" s="111" t="s">
        <v>2831</v>
      </c>
      <c r="O23" s="111">
        <v>10</v>
      </c>
    </row>
    <row r="24" spans="1:15">
      <c r="A24" s="116"/>
      <c r="B24" s="116"/>
      <c r="C24" s="116"/>
      <c r="D24" s="111"/>
      <c r="E24" s="111"/>
      <c r="F24" s="111"/>
      <c r="G24" s="111"/>
      <c r="H24" s="111"/>
      <c r="K24" s="111"/>
      <c r="L24" s="111"/>
    </row>
    <row r="25" spans="1:15">
      <c r="A25" s="111"/>
      <c r="B25" s="111"/>
      <c r="C25" s="111"/>
      <c r="D25" s="111"/>
      <c r="E25" s="111"/>
      <c r="F25" s="111"/>
      <c r="G25" s="111"/>
      <c r="H25" s="111"/>
      <c r="K25" s="111" t="s">
        <v>5351</v>
      </c>
      <c r="L25" s="111"/>
      <c r="M25" s="111"/>
      <c r="N25" s="111"/>
      <c r="O25" s="111">
        <f>9300*3.0413</f>
        <v>28284.09</v>
      </c>
    </row>
    <row r="26" spans="1:15">
      <c r="A26" s="111"/>
      <c r="B26" s="120"/>
      <c r="C26" s="120"/>
      <c r="D26" s="111"/>
      <c r="E26" s="111"/>
      <c r="H26" s="111"/>
      <c r="K26" s="111" t="s">
        <v>5352</v>
      </c>
      <c r="O26" s="111"/>
    </row>
    <row r="27" spans="1:15">
      <c r="A27" s="111"/>
      <c r="B27" s="111"/>
      <c r="C27" s="111"/>
      <c r="K27" s="111"/>
      <c r="O27" s="111"/>
    </row>
    <row r="28" spans="1:15">
      <c r="A28" s="111"/>
      <c r="B28" s="111"/>
      <c r="C28" s="111"/>
      <c r="D28" s="111"/>
      <c r="H28" s="111"/>
      <c r="K28" s="111" t="s">
        <v>5353</v>
      </c>
      <c r="O28" s="111">
        <f>4050*3.0413</f>
        <v>12317.265000000001</v>
      </c>
    </row>
    <row r="29" spans="1:15">
      <c r="A29" s="111"/>
      <c r="B29" s="111"/>
      <c r="C29" s="111"/>
      <c r="D29" s="111"/>
      <c r="E29" s="111"/>
      <c r="K29" s="111" t="s">
        <v>5354</v>
      </c>
      <c r="L29" s="111"/>
      <c r="M29" s="111"/>
      <c r="N29" s="111"/>
      <c r="O29" s="111"/>
    </row>
    <row r="30" spans="1:15">
      <c r="A30" s="111"/>
      <c r="B30" s="120"/>
      <c r="C30" s="120"/>
      <c r="K30" s="111"/>
      <c r="L30" s="111"/>
      <c r="M30" s="111"/>
      <c r="N30" s="111"/>
      <c r="O30" s="111"/>
    </row>
    <row r="31" spans="1:15">
      <c r="A31" s="111"/>
      <c r="B31" s="111"/>
      <c r="C31" s="111"/>
    </row>
    <row r="32" spans="1:15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11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SUM(H18:H33)</f>
        <v>6434.9426999999996</v>
      </c>
    </row>
    <row r="36" spans="1:8" ht="13.5" thickTop="1">
      <c r="A36" s="111"/>
      <c r="B36" s="111"/>
      <c r="C36" s="111"/>
      <c r="D36" s="111"/>
      <c r="E36" s="111"/>
    </row>
    <row r="37" spans="1: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 Thousand Four Hundred Thirty-Four and 94/100 -----------</v>
      </c>
      <c r="C37" s="204"/>
      <c r="D37" s="119"/>
      <c r="E37" s="119"/>
      <c r="F37" s="119"/>
      <c r="G37" s="119"/>
      <c r="H37" s="119"/>
    </row>
    <row r="38" spans="1:8" ht="20.100000000000001" customHeight="1">
      <c r="A38" s="160"/>
      <c r="B38" s="145"/>
      <c r="C38" s="145"/>
      <c r="D38" s="126"/>
      <c r="E38" s="126"/>
      <c r="F38" s="126"/>
      <c r="G38" s="126"/>
      <c r="H38" s="126"/>
    </row>
    <row r="39" spans="1:8" ht="25.5">
      <c r="A39" s="120" t="s">
        <v>3060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310"/>
      <c r="G40" s="311"/>
      <c r="H40" s="311"/>
    </row>
    <row r="41" spans="1:8"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5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48EFE-7D75-4535-9D6C-AE6D583E0485}">
  <sheetPr codeName="Sheet531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2.140625" style="111" customWidth="1"/>
    <col min="3" max="3" width="0.5703125" style="111" customWidth="1"/>
    <col min="4" max="4" width="23" style="111" customWidth="1"/>
    <col min="5" max="5" width="1" style="111" customWidth="1"/>
    <col min="6" max="6" width="13.5703125" style="111" customWidth="1"/>
    <col min="7" max="7" width="9.5703125" style="111" customWidth="1"/>
    <col min="8" max="8" width="13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1090</v>
      </c>
      <c r="G9" s="111" t="s">
        <v>5413</v>
      </c>
    </row>
    <row r="10" spans="1:8">
      <c r="A10" s="111" t="s">
        <v>5414</v>
      </c>
      <c r="F10" s="112" t="s">
        <v>1340</v>
      </c>
      <c r="G10" s="112" t="s">
        <v>5401</v>
      </c>
    </row>
    <row r="11" spans="1:8">
      <c r="A11" s="111" t="s">
        <v>5415</v>
      </c>
      <c r="F11" s="112" t="s">
        <v>1341</v>
      </c>
      <c r="G11" s="112" t="s">
        <v>1094</v>
      </c>
    </row>
    <row r="12" spans="1:8">
      <c r="A12" s="111" t="s">
        <v>5416</v>
      </c>
      <c r="F12" s="112" t="s">
        <v>1135</v>
      </c>
      <c r="G12" s="112" t="s">
        <v>1270</v>
      </c>
    </row>
    <row r="13" spans="1:8">
      <c r="A13" s="111" t="s">
        <v>5417</v>
      </c>
    </row>
    <row r="14" spans="1:8">
      <c r="A14" s="111" t="s">
        <v>5418</v>
      </c>
    </row>
    <row r="16" spans="1:8" s="15" customFormat="1" ht="20.100000000000001" customHeight="1">
      <c r="A16" s="18" t="s">
        <v>1113</v>
      </c>
      <c r="B16" s="129" t="s">
        <v>1114</v>
      </c>
      <c r="C16" s="129"/>
      <c r="D16" s="533" t="s">
        <v>14</v>
      </c>
      <c r="E16" s="533"/>
      <c r="F16" s="533"/>
      <c r="G16" s="17"/>
      <c r="H16" s="16" t="s">
        <v>13</v>
      </c>
    </row>
    <row r="18" spans="1:8">
      <c r="A18" s="116"/>
      <c r="B18" s="116"/>
      <c r="C18" s="116"/>
      <c r="D18" s="2" t="s">
        <v>5419</v>
      </c>
      <c r="E18" s="2"/>
    </row>
    <row r="20" spans="1:8">
      <c r="A20" s="116" t="s">
        <v>5379</v>
      </c>
      <c r="B20" s="241" t="s">
        <v>5420</v>
      </c>
      <c r="C20" s="121"/>
      <c r="D20" s="111" t="s">
        <v>5421</v>
      </c>
      <c r="H20" s="111">
        <f>54000/1.855212</f>
        <v>29107.185593883609</v>
      </c>
    </row>
    <row r="21" spans="1:8">
      <c r="A21" s="116"/>
      <c r="B21" s="116"/>
      <c r="C21" s="121"/>
      <c r="D21" s="111" t="s">
        <v>5422</v>
      </c>
    </row>
    <row r="22" spans="1:8">
      <c r="E22" s="2"/>
    </row>
    <row r="23" spans="1:8">
      <c r="A23" s="116"/>
      <c r="B23" s="241"/>
      <c r="C23" s="116"/>
      <c r="D23" s="111" t="s">
        <v>1697</v>
      </c>
      <c r="H23" s="111">
        <v>30</v>
      </c>
    </row>
    <row r="24" spans="1:8">
      <c r="A24" s="116"/>
      <c r="B24" s="116"/>
      <c r="C24" s="121"/>
    </row>
    <row r="25" spans="1:8">
      <c r="A25" s="116"/>
      <c r="B25" s="116"/>
      <c r="C25" s="121"/>
    </row>
    <row r="26" spans="1:8">
      <c r="A26" s="116"/>
      <c r="B26" s="121"/>
      <c r="C26" s="121"/>
    </row>
    <row r="35" spans="1:8" ht="13.5" thickBot="1">
      <c r="H35" s="117">
        <f>SUM(H18:H34)</f>
        <v>29137.185593883609</v>
      </c>
    </row>
    <row r="36" spans="1:8" ht="13.5" thickTop="1"/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Twenty-Nine Thousand One Hundred Thirty-Seven and 19/100 -----------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11" t="s">
        <v>10</v>
      </c>
      <c r="F39" s="265" t="s">
        <v>2894</v>
      </c>
      <c r="G39" s="266" t="s">
        <v>3298</v>
      </c>
      <c r="H39" s="267"/>
    </row>
    <row r="41" spans="1:8">
      <c r="A41" s="126"/>
    </row>
    <row r="42" spans="1:8">
      <c r="D42" s="121"/>
      <c r="E42" s="121"/>
    </row>
    <row r="43" spans="1:8">
      <c r="A43" s="122"/>
      <c r="B43" s="122"/>
    </row>
    <row r="45" spans="1:8">
      <c r="A45" s="123" t="s">
        <v>8</v>
      </c>
      <c r="D45" s="123" t="s">
        <v>8</v>
      </c>
      <c r="F45" s="123" t="s">
        <v>7</v>
      </c>
      <c r="H45" s="124"/>
    </row>
    <row r="49" spans="1:8">
      <c r="A49" s="122"/>
      <c r="B49" s="122"/>
      <c r="D49" s="122"/>
      <c r="F49" s="122"/>
      <c r="G49" s="122"/>
      <c r="H49" s="122"/>
    </row>
    <row r="50" spans="1:8" s="126" customFormat="1" ht="17.100000000000001" customHeight="1">
      <c r="A50" s="111" t="s">
        <v>2948</v>
      </c>
      <c r="B50" s="125"/>
      <c r="C50" s="125"/>
      <c r="D50" s="111" t="s">
        <v>103</v>
      </c>
      <c r="F50" s="126" t="s">
        <v>3</v>
      </c>
    </row>
    <row r="51" spans="1:8">
      <c r="F51" s="111" t="s">
        <v>2</v>
      </c>
    </row>
    <row r="52" spans="1:8">
      <c r="A52" s="151"/>
    </row>
    <row r="53" spans="1:8">
      <c r="F53" s="2" t="s">
        <v>1</v>
      </c>
    </row>
    <row r="54" spans="1:8">
      <c r="F54" s="2" t="s">
        <v>0</v>
      </c>
    </row>
  </sheetData>
  <mergeCells count="5">
    <mergeCell ref="A1:H1"/>
    <mergeCell ref="A2:H2"/>
    <mergeCell ref="A3:H3"/>
    <mergeCell ref="A4:H4"/>
    <mergeCell ref="D16:F16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A24D5-69B0-40B5-A901-27952C4B5342}">
  <sheetPr codeName="Sheet534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2.140625" style="111" customWidth="1"/>
    <col min="3" max="3" width="0.5703125" style="111" customWidth="1"/>
    <col min="4" max="4" width="23" style="111" customWidth="1"/>
    <col min="5" max="5" width="1" style="111" customWidth="1"/>
    <col min="6" max="6" width="13.5703125" style="111" customWidth="1"/>
    <col min="7" max="7" width="9.5703125" style="111" customWidth="1"/>
    <col min="8" max="8" width="13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1090</v>
      </c>
      <c r="G9" s="111" t="s">
        <v>5479</v>
      </c>
    </row>
    <row r="10" spans="1:8">
      <c r="A10" s="111" t="s">
        <v>5414</v>
      </c>
      <c r="F10" s="112" t="s">
        <v>1340</v>
      </c>
      <c r="G10" s="112" t="s">
        <v>5476</v>
      </c>
    </row>
    <row r="11" spans="1:8">
      <c r="A11" s="111" t="s">
        <v>5415</v>
      </c>
      <c r="F11" s="112" t="s">
        <v>1341</v>
      </c>
      <c r="G11" s="112" t="s">
        <v>1094</v>
      </c>
    </row>
    <row r="12" spans="1:8">
      <c r="A12" s="111" t="s">
        <v>5416</v>
      </c>
      <c r="F12" s="112" t="s">
        <v>1135</v>
      </c>
      <c r="G12" s="112" t="s">
        <v>5480</v>
      </c>
    </row>
    <row r="13" spans="1:8">
      <c r="A13" s="111" t="s">
        <v>5417</v>
      </c>
    </row>
    <row r="14" spans="1:8">
      <c r="A14" s="111" t="s">
        <v>5418</v>
      </c>
    </row>
    <row r="16" spans="1:8" s="15" customFormat="1" ht="20.100000000000001" customHeight="1">
      <c r="A16" s="18" t="s">
        <v>1113</v>
      </c>
      <c r="B16" s="129" t="s">
        <v>1114</v>
      </c>
      <c r="C16" s="129"/>
      <c r="D16" s="533" t="s">
        <v>14</v>
      </c>
      <c r="E16" s="533"/>
      <c r="F16" s="533"/>
      <c r="G16" s="17"/>
      <c r="H16" s="16" t="s">
        <v>13</v>
      </c>
    </row>
    <row r="18" spans="1:8">
      <c r="A18" s="116"/>
      <c r="B18" s="116"/>
      <c r="C18" s="116"/>
      <c r="D18" s="2" t="s">
        <v>5481</v>
      </c>
      <c r="E18" s="2"/>
    </row>
    <row r="20" spans="1:8">
      <c r="A20" s="116" t="s">
        <v>5400</v>
      </c>
      <c r="B20" s="241" t="s">
        <v>5482</v>
      </c>
      <c r="C20" s="121"/>
      <c r="D20" s="111" t="s">
        <v>5483</v>
      </c>
      <c r="H20" s="111">
        <v>40914</v>
      </c>
    </row>
    <row r="21" spans="1:8">
      <c r="A21" s="116"/>
      <c r="B21" s="116"/>
      <c r="C21" s="121"/>
      <c r="D21" s="111" t="s">
        <v>5484</v>
      </c>
    </row>
    <row r="22" spans="1:8">
      <c r="E22" s="2"/>
    </row>
    <row r="23" spans="1:8">
      <c r="A23" s="116"/>
      <c r="B23" s="241"/>
      <c r="C23" s="116"/>
    </row>
    <row r="24" spans="1:8">
      <c r="A24" s="116"/>
      <c r="B24" s="116"/>
      <c r="C24" s="121"/>
    </row>
    <row r="25" spans="1:8">
      <c r="A25" s="116"/>
      <c r="B25" s="116"/>
      <c r="C25" s="121"/>
    </row>
    <row r="26" spans="1:8">
      <c r="A26" s="116"/>
      <c r="B26" s="121"/>
      <c r="C26" s="121"/>
    </row>
    <row r="35" spans="1:8" ht="13.5" thickBot="1">
      <c r="H35" s="117">
        <f>SUM(H18:H34)</f>
        <v>40914</v>
      </c>
    </row>
    <row r="36" spans="1:8" ht="13.5" thickTop="1"/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Forty Thousand Nine Hundred Fourteen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11" t="s">
        <v>10</v>
      </c>
      <c r="F39" s="265" t="s">
        <v>2894</v>
      </c>
      <c r="G39" s="266" t="s">
        <v>3298</v>
      </c>
      <c r="H39" s="267"/>
    </row>
    <row r="41" spans="1:8">
      <c r="A41" s="126"/>
    </row>
    <row r="42" spans="1:8">
      <c r="D42" s="121"/>
      <c r="E42" s="121"/>
    </row>
    <row r="43" spans="1:8">
      <c r="A43" s="122"/>
      <c r="B43" s="122"/>
    </row>
    <row r="45" spans="1:8">
      <c r="A45" s="123" t="s">
        <v>8</v>
      </c>
      <c r="D45" s="123" t="s">
        <v>8</v>
      </c>
      <c r="F45" s="123" t="s">
        <v>7</v>
      </c>
      <c r="H45" s="124"/>
    </row>
    <row r="49" spans="1:8">
      <c r="A49" s="122"/>
      <c r="B49" s="122"/>
      <c r="D49" s="122"/>
      <c r="F49" s="122"/>
      <c r="G49" s="122"/>
      <c r="H49" s="122"/>
    </row>
    <row r="50" spans="1:8" s="126" customFormat="1" ht="17.100000000000001" customHeight="1">
      <c r="A50" s="111" t="s">
        <v>2948</v>
      </c>
      <c r="B50" s="125"/>
      <c r="C50" s="125"/>
      <c r="D50" s="111" t="s">
        <v>103</v>
      </c>
      <c r="F50" s="126" t="s">
        <v>3</v>
      </c>
    </row>
    <row r="51" spans="1:8">
      <c r="F51" s="111" t="s">
        <v>2</v>
      </c>
    </row>
    <row r="52" spans="1:8">
      <c r="A52" s="151"/>
    </row>
    <row r="53" spans="1:8">
      <c r="F53" s="2" t="s">
        <v>1</v>
      </c>
    </row>
    <row r="54" spans="1:8">
      <c r="F54" s="2" t="s">
        <v>0</v>
      </c>
    </row>
  </sheetData>
  <mergeCells count="5">
    <mergeCell ref="A1:H1"/>
    <mergeCell ref="A2:H2"/>
    <mergeCell ref="A3:H3"/>
    <mergeCell ref="A4:H4"/>
    <mergeCell ref="D16:F16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5BB1-DF3F-4041-86F3-73278170A0DA}">
  <sheetPr codeName="Sheet535">
    <pageSetUpPr fitToPage="1"/>
  </sheetPr>
  <dimension ref="A1:Q80"/>
  <sheetViews>
    <sheetView topLeftCell="A4" zoomScaleNormal="100" workbookViewId="0">
      <selection activeCell="G9" sqref="G9:G13"/>
    </sheetView>
  </sheetViews>
  <sheetFormatPr defaultRowHeight="12.75"/>
  <cols>
    <col min="1" max="2" width="15.5703125" style="131" customWidth="1"/>
    <col min="3" max="3" width="20" style="131" customWidth="1"/>
    <col min="4" max="4" width="17.42578125" style="131" customWidth="1"/>
    <col min="5" max="5" width="9.28515625" style="131" customWidth="1"/>
    <col min="6" max="6" width="13.28515625" style="131" customWidth="1"/>
    <col min="7" max="14" width="9.140625" style="131"/>
    <col min="15" max="15" width="18.140625" style="131" customWidth="1"/>
    <col min="16" max="16384" width="9.140625" style="131"/>
  </cols>
  <sheetData>
    <row r="1" spans="1:17" ht="15">
      <c r="A1" s="531" t="s">
        <v>26</v>
      </c>
      <c r="B1" s="531"/>
      <c r="C1" s="531"/>
      <c r="D1" s="531"/>
      <c r="E1" s="531"/>
      <c r="F1" s="531"/>
    </row>
    <row r="2" spans="1:17">
      <c r="A2" s="532" t="s">
        <v>25</v>
      </c>
      <c r="B2" s="532"/>
      <c r="C2" s="532"/>
      <c r="D2" s="532"/>
      <c r="E2" s="532"/>
      <c r="F2" s="532"/>
    </row>
    <row r="3" spans="1:17">
      <c r="A3" s="532" t="s">
        <v>1480</v>
      </c>
      <c r="B3" s="532"/>
      <c r="C3" s="532"/>
      <c r="D3" s="532"/>
      <c r="E3" s="532"/>
      <c r="F3" s="532"/>
    </row>
    <row r="4" spans="1:17">
      <c r="A4" s="532" t="s">
        <v>1684</v>
      </c>
      <c r="B4" s="532"/>
      <c r="C4" s="532"/>
      <c r="D4" s="532"/>
      <c r="E4" s="532"/>
      <c r="F4" s="532"/>
    </row>
    <row r="8" spans="1:17">
      <c r="A8" s="131" t="s">
        <v>24</v>
      </c>
      <c r="D8" s="87" t="s">
        <v>23</v>
      </c>
      <c r="M8" s="131" t="s">
        <v>4859</v>
      </c>
      <c r="P8" s="131">
        <v>450</v>
      </c>
    </row>
    <row r="9" spans="1:17">
      <c r="D9" s="132" t="s">
        <v>1716</v>
      </c>
      <c r="E9" s="111" t="s">
        <v>5437</v>
      </c>
      <c r="M9" s="131" t="s">
        <v>5052</v>
      </c>
    </row>
    <row r="10" spans="1:17">
      <c r="A10" s="131" t="s">
        <v>5439</v>
      </c>
      <c r="D10" s="132" t="s">
        <v>1162</v>
      </c>
      <c r="E10" s="112" t="s">
        <v>5434</v>
      </c>
    </row>
    <row r="11" spans="1:17">
      <c r="D11" s="132" t="s">
        <v>1163</v>
      </c>
      <c r="E11" s="112" t="s">
        <v>1094</v>
      </c>
      <c r="K11" s="140"/>
      <c r="L11" s="305"/>
    </row>
    <row r="12" spans="1:17">
      <c r="D12" s="132" t="s">
        <v>1096</v>
      </c>
      <c r="E12" s="112" t="s">
        <v>5438</v>
      </c>
      <c r="K12" s="158" t="s">
        <v>3208</v>
      </c>
      <c r="L12" s="306" t="s">
        <v>3508</v>
      </c>
      <c r="M12" s="131" t="s">
        <v>3509</v>
      </c>
      <c r="P12" s="131">
        <v>380</v>
      </c>
    </row>
    <row r="13" spans="1:17">
      <c r="E13" s="111"/>
      <c r="K13" s="158"/>
      <c r="L13" s="306"/>
      <c r="M13" s="131" t="s">
        <v>3510</v>
      </c>
    </row>
    <row r="14" spans="1:17">
      <c r="K14" s="158"/>
      <c r="L14" s="306"/>
    </row>
    <row r="15" spans="1:17">
      <c r="K15" s="158" t="s">
        <v>3433</v>
      </c>
      <c r="L15" s="306" t="s">
        <v>3511</v>
      </c>
      <c r="M15" s="131" t="s">
        <v>3512</v>
      </c>
      <c r="P15" s="131">
        <v>900</v>
      </c>
    </row>
    <row r="16" spans="1:17" s="95" customFormat="1" ht="20.100000000000001" customHeight="1">
      <c r="A16" s="90" t="s">
        <v>1113</v>
      </c>
      <c r="B16" s="91" t="s">
        <v>1114</v>
      </c>
      <c r="C16" s="92" t="s">
        <v>14</v>
      </c>
      <c r="D16" s="90"/>
      <c r="E16" s="93"/>
      <c r="F16" s="94" t="s">
        <v>13</v>
      </c>
      <c r="K16" s="158"/>
      <c r="L16" s="306"/>
      <c r="M16" s="131"/>
      <c r="N16" s="131"/>
      <c r="O16" s="131"/>
      <c r="P16" s="131"/>
      <c r="Q16" s="131"/>
    </row>
    <row r="17" spans="1:16">
      <c r="K17" s="158" t="s">
        <v>3433</v>
      </c>
      <c r="L17" s="306" t="s">
        <v>3513</v>
      </c>
      <c r="M17" s="131" t="s">
        <v>3514</v>
      </c>
      <c r="P17" s="131">
        <v>900</v>
      </c>
    </row>
    <row r="18" spans="1:16" ht="12.75" customHeight="1">
      <c r="A18" s="158"/>
      <c r="B18" s="158"/>
      <c r="C18" s="110" t="s">
        <v>5440</v>
      </c>
      <c r="K18" s="158"/>
      <c r="L18" s="305"/>
    </row>
    <row r="19" spans="1:16">
      <c r="C19" s="410"/>
      <c r="K19" s="140"/>
      <c r="L19" s="305"/>
    </row>
    <row r="20" spans="1:16">
      <c r="A20" s="158" t="s">
        <v>5441</v>
      </c>
      <c r="B20" s="158"/>
      <c r="C20" s="131" t="s">
        <v>5442</v>
      </c>
      <c r="F20" s="131">
        <v>350</v>
      </c>
      <c r="M20" s="110" t="s">
        <v>3230</v>
      </c>
    </row>
    <row r="22" spans="1:16">
      <c r="K22" s="158" t="s">
        <v>3896</v>
      </c>
      <c r="L22" s="158" t="s">
        <v>3897</v>
      </c>
      <c r="M22" s="131" t="s">
        <v>3898</v>
      </c>
      <c r="P22" s="131">
        <v>900</v>
      </c>
    </row>
    <row r="23" spans="1:16">
      <c r="A23" s="158"/>
      <c r="B23" s="158"/>
    </row>
    <row r="24" spans="1:16">
      <c r="A24" s="158"/>
      <c r="B24" s="158"/>
      <c r="K24" s="158" t="s">
        <v>3899</v>
      </c>
      <c r="L24" s="141" t="s">
        <v>3900</v>
      </c>
      <c r="M24" s="131" t="s">
        <v>3901</v>
      </c>
      <c r="P24" s="131">
        <v>480</v>
      </c>
    </row>
    <row r="25" spans="1:16">
      <c r="M25" s="131" t="s">
        <v>3902</v>
      </c>
    </row>
    <row r="26" spans="1:16">
      <c r="A26" s="158"/>
      <c r="B26" s="306"/>
    </row>
    <row r="27" spans="1:16">
      <c r="B27" s="140"/>
    </row>
    <row r="28" spans="1:16">
      <c r="M28" s="110" t="s">
        <v>3096</v>
      </c>
    </row>
    <row r="30" spans="1:16">
      <c r="A30" s="158"/>
      <c r="B30" s="158"/>
      <c r="M30" s="131" t="s">
        <v>4492</v>
      </c>
      <c r="P30" s="131">
        <v>450</v>
      </c>
    </row>
    <row r="31" spans="1:16">
      <c r="M31" s="131" t="s">
        <v>4493</v>
      </c>
      <c r="P31" s="131">
        <f>P30*6%</f>
        <v>27</v>
      </c>
    </row>
    <row r="32" spans="1:16">
      <c r="A32" s="158"/>
      <c r="B32" s="306"/>
      <c r="M32" s="131" t="s">
        <v>1814</v>
      </c>
    </row>
    <row r="33" spans="1:16">
      <c r="B33" s="140"/>
    </row>
    <row r="34" spans="1:16">
      <c r="M34" s="131" t="s">
        <v>4491</v>
      </c>
      <c r="P34" s="131">
        <v>450</v>
      </c>
    </row>
    <row r="35" spans="1:16" ht="13.5" thickBot="1">
      <c r="F35" s="164">
        <f>SUM(F18:F34)</f>
        <v>350</v>
      </c>
      <c r="M35" s="131" t="s">
        <v>1814</v>
      </c>
      <c r="P35" s="131">
        <f>P34*6%</f>
        <v>27</v>
      </c>
    </row>
    <row r="36" spans="1:16" ht="13.5" thickTop="1"/>
    <row r="37" spans="1:16" ht="20.100000000000001" customHeight="1">
      <c r="A37" s="138" t="s">
        <v>1717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Three Hundred Fifty and NO/100 -----------</v>
      </c>
      <c r="C37" s="139"/>
      <c r="D37" s="139"/>
      <c r="E37" s="139"/>
      <c r="F37" s="139"/>
    </row>
    <row r="38" spans="1:16">
      <c r="A38" s="140"/>
      <c r="K38" s="158" t="s">
        <v>4609</v>
      </c>
      <c r="L38" s="158" t="s">
        <v>4610</v>
      </c>
      <c r="M38" s="131" t="s">
        <v>4611</v>
      </c>
      <c r="P38" s="131">
        <v>450</v>
      </c>
    </row>
    <row r="39" spans="1:16" ht="25.5">
      <c r="A39" s="143" t="s">
        <v>10</v>
      </c>
      <c r="D39" s="283" t="s">
        <v>2894</v>
      </c>
      <c r="E39" s="284"/>
      <c r="F39" s="285"/>
      <c r="M39" s="131" t="s">
        <v>1814</v>
      </c>
      <c r="P39" s="131">
        <f>P38*6%</f>
        <v>27</v>
      </c>
    </row>
    <row r="40" spans="1:16">
      <c r="A40" s="143"/>
      <c r="K40" s="158"/>
      <c r="L40" s="141"/>
    </row>
    <row r="41" spans="1:16">
      <c r="A41" s="143"/>
      <c r="D41" s="291"/>
      <c r="E41" s="291"/>
      <c r="F41" s="291"/>
      <c r="K41" s="158" t="s">
        <v>4612</v>
      </c>
      <c r="L41" s="158" t="s">
        <v>4613</v>
      </c>
      <c r="M41" s="131" t="s">
        <v>4614</v>
      </c>
      <c r="P41" s="131">
        <v>450</v>
      </c>
    </row>
    <row r="42" spans="1:16">
      <c r="A42" s="143"/>
      <c r="C42" s="141"/>
      <c r="D42" s="286"/>
      <c r="E42" s="287"/>
      <c r="F42" s="287"/>
      <c r="K42" s="158"/>
      <c r="L42" s="158"/>
      <c r="M42" s="131" t="s">
        <v>1814</v>
      </c>
      <c r="P42" s="131">
        <f>P41*6%</f>
        <v>27</v>
      </c>
    </row>
    <row r="43" spans="1:16">
      <c r="A43" s="142"/>
      <c r="B43" s="142"/>
    </row>
    <row r="44" spans="1:16">
      <c r="A44" s="143"/>
      <c r="K44" s="158" t="s">
        <v>4612</v>
      </c>
      <c r="L44" s="158" t="s">
        <v>4617</v>
      </c>
      <c r="M44" s="131" t="s">
        <v>4615</v>
      </c>
      <c r="P44" s="131">
        <v>450</v>
      </c>
    </row>
    <row r="45" spans="1:16">
      <c r="A45" s="143" t="s">
        <v>8</v>
      </c>
      <c r="D45" s="143" t="s">
        <v>7</v>
      </c>
      <c r="F45" s="144"/>
      <c r="M45" s="131" t="s">
        <v>4616</v>
      </c>
    </row>
    <row r="46" spans="1:16">
      <c r="A46" s="143"/>
      <c r="M46" s="131" t="s">
        <v>1814</v>
      </c>
      <c r="P46" s="131">
        <f>P44*6%</f>
        <v>27</v>
      </c>
    </row>
    <row r="47" spans="1:16">
      <c r="A47" s="143"/>
    </row>
    <row r="48" spans="1:16">
      <c r="A48" s="143"/>
    </row>
    <row r="49" spans="1:16">
      <c r="A49" s="248"/>
      <c r="B49" s="142"/>
      <c r="D49" s="142"/>
      <c r="E49" s="142"/>
      <c r="F49" s="142"/>
    </row>
    <row r="50" spans="1:16" s="147" customFormat="1" ht="17.100000000000001" customHeight="1">
      <c r="A50" s="143" t="s">
        <v>2948</v>
      </c>
      <c r="B50" s="146"/>
      <c r="D50" s="147" t="s">
        <v>3</v>
      </c>
    </row>
    <row r="51" spans="1:16">
      <c r="A51" s="143"/>
      <c r="D51" s="131" t="s">
        <v>2</v>
      </c>
      <c r="M51" s="110" t="s">
        <v>4157</v>
      </c>
    </row>
    <row r="52" spans="1:16">
      <c r="A52" s="143"/>
    </row>
    <row r="53" spans="1:16">
      <c r="D53" s="110" t="s">
        <v>1</v>
      </c>
      <c r="M53" s="131" t="s">
        <v>4733</v>
      </c>
      <c r="P53" s="131">
        <v>480</v>
      </c>
    </row>
    <row r="54" spans="1:16">
      <c r="D54" s="110" t="s">
        <v>0</v>
      </c>
      <c r="M54" s="131" t="s">
        <v>4734</v>
      </c>
    </row>
    <row r="55" spans="1:16">
      <c r="M55" s="131" t="s">
        <v>1814</v>
      </c>
      <c r="P55" s="131">
        <f>P53*6%</f>
        <v>28.799999999999997</v>
      </c>
    </row>
    <row r="57" spans="1:16">
      <c r="K57" s="158" t="s">
        <v>4744</v>
      </c>
      <c r="L57" s="158" t="s">
        <v>4832</v>
      </c>
      <c r="M57" s="131" t="s">
        <v>4833</v>
      </c>
      <c r="P57" s="131">
        <v>100</v>
      </c>
    </row>
    <row r="58" spans="1:16">
      <c r="M58" s="410" t="s">
        <v>4834</v>
      </c>
    </row>
    <row r="59" spans="1:16">
      <c r="K59" s="158"/>
      <c r="L59" s="158"/>
      <c r="M59" s="131" t="s">
        <v>1814</v>
      </c>
      <c r="P59" s="131">
        <f>P57*6%</f>
        <v>6</v>
      </c>
    </row>
    <row r="62" spans="1:16">
      <c r="M62" s="131" t="s">
        <v>4857</v>
      </c>
      <c r="P62" s="131">
        <v>900</v>
      </c>
    </row>
    <row r="63" spans="1:16">
      <c r="M63" s="131" t="s">
        <v>4858</v>
      </c>
    </row>
    <row r="64" spans="1:16">
      <c r="M64" s="131" t="s">
        <v>1814</v>
      </c>
      <c r="P64" s="131">
        <f>P62*6%</f>
        <v>54</v>
      </c>
    </row>
    <row r="68" spans="11:16">
      <c r="M68" s="131" t="s">
        <v>4859</v>
      </c>
      <c r="P68" s="131">
        <v>450</v>
      </c>
    </row>
    <row r="69" spans="11:16">
      <c r="M69" s="131" t="s">
        <v>4970</v>
      </c>
    </row>
    <row r="70" spans="11:16">
      <c r="M70" s="131" t="s">
        <v>1814</v>
      </c>
      <c r="P70" s="131">
        <f>P68*6%</f>
        <v>27</v>
      </c>
    </row>
    <row r="73" spans="11:16">
      <c r="M73" s="131" t="s">
        <v>5023</v>
      </c>
      <c r="P73" s="131">
        <v>900</v>
      </c>
    </row>
    <row r="74" spans="11:16">
      <c r="M74" s="131" t="s">
        <v>5024</v>
      </c>
    </row>
    <row r="78" spans="11:16">
      <c r="K78" s="158"/>
      <c r="L78" s="158" t="s">
        <v>5436</v>
      </c>
      <c r="M78" s="131" t="s">
        <v>5398</v>
      </c>
      <c r="P78" s="131">
        <v>500</v>
      </c>
    </row>
    <row r="79" spans="11:16">
      <c r="M79" s="131" t="s">
        <v>5399</v>
      </c>
    </row>
    <row r="80" spans="11:16">
      <c r="M80" s="131" t="s">
        <v>5175</v>
      </c>
      <c r="P80" s="131">
        <v>30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5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A35CC-4225-46D7-8B5E-E0F6C53A1B7B}">
  <sheetPr codeName="Sheet537">
    <pageSetUpPr fitToPage="1"/>
  </sheetPr>
  <dimension ref="A1:Q80"/>
  <sheetViews>
    <sheetView zoomScaleNormal="100" workbookViewId="0">
      <selection activeCell="G9" sqref="G9:G13"/>
    </sheetView>
  </sheetViews>
  <sheetFormatPr defaultRowHeight="12.75"/>
  <cols>
    <col min="1" max="2" width="15.5703125" style="131" customWidth="1"/>
    <col min="3" max="3" width="20" style="131" customWidth="1"/>
    <col min="4" max="4" width="17.42578125" style="131" customWidth="1"/>
    <col min="5" max="5" width="9.28515625" style="131" customWidth="1"/>
    <col min="6" max="6" width="13.28515625" style="131" customWidth="1"/>
    <col min="7" max="14" width="9.140625" style="131"/>
    <col min="15" max="15" width="18.140625" style="131" customWidth="1"/>
    <col min="16" max="16384" width="9.140625" style="131"/>
  </cols>
  <sheetData>
    <row r="1" spans="1:17" ht="15">
      <c r="A1" s="531" t="s">
        <v>26</v>
      </c>
      <c r="B1" s="531"/>
      <c r="C1" s="531"/>
      <c r="D1" s="531"/>
      <c r="E1" s="531"/>
      <c r="F1" s="531"/>
    </row>
    <row r="2" spans="1:17">
      <c r="A2" s="532" t="s">
        <v>25</v>
      </c>
      <c r="B2" s="532"/>
      <c r="C2" s="532"/>
      <c r="D2" s="532"/>
      <c r="E2" s="532"/>
      <c r="F2" s="532"/>
    </row>
    <row r="3" spans="1:17">
      <c r="A3" s="532" t="s">
        <v>1480</v>
      </c>
      <c r="B3" s="532"/>
      <c r="C3" s="532"/>
      <c r="D3" s="532"/>
      <c r="E3" s="532"/>
      <c r="F3" s="532"/>
    </row>
    <row r="4" spans="1:17">
      <c r="A4" s="532" t="s">
        <v>1684</v>
      </c>
      <c r="B4" s="532"/>
      <c r="C4" s="532"/>
      <c r="D4" s="532"/>
      <c r="E4" s="532"/>
      <c r="F4" s="532"/>
    </row>
    <row r="8" spans="1:17">
      <c r="A8" s="131" t="s">
        <v>24</v>
      </c>
      <c r="D8" s="87" t="s">
        <v>23</v>
      </c>
      <c r="M8" s="131" t="s">
        <v>4859</v>
      </c>
      <c r="P8" s="131">
        <v>450</v>
      </c>
    </row>
    <row r="9" spans="1:17">
      <c r="D9" s="132" t="s">
        <v>1716</v>
      </c>
      <c r="E9" s="111" t="s">
        <v>5443</v>
      </c>
      <c r="M9" s="131" t="s">
        <v>5052</v>
      </c>
    </row>
    <row r="10" spans="1:17">
      <c r="A10" s="131" t="s">
        <v>5445</v>
      </c>
      <c r="D10" s="132" t="s">
        <v>1162</v>
      </c>
      <c r="E10" s="112" t="s">
        <v>5434</v>
      </c>
    </row>
    <row r="11" spans="1:17">
      <c r="A11" s="131" t="s">
        <v>5446</v>
      </c>
      <c r="D11" s="132" t="s">
        <v>1163</v>
      </c>
      <c r="E11" s="112" t="s">
        <v>1094</v>
      </c>
      <c r="K11" s="140"/>
      <c r="L11" s="305"/>
    </row>
    <row r="12" spans="1:17">
      <c r="A12" s="131" t="s">
        <v>5447</v>
      </c>
      <c r="D12" s="132" t="s">
        <v>1096</v>
      </c>
      <c r="E12" s="112" t="s">
        <v>5444</v>
      </c>
      <c r="K12" s="158" t="s">
        <v>3208</v>
      </c>
      <c r="L12" s="306" t="s">
        <v>3508</v>
      </c>
      <c r="M12" s="131" t="s">
        <v>3509</v>
      </c>
      <c r="P12" s="131">
        <v>380</v>
      </c>
    </row>
    <row r="13" spans="1:17">
      <c r="A13" s="131" t="s">
        <v>5448</v>
      </c>
      <c r="E13" s="111"/>
      <c r="K13" s="158"/>
      <c r="L13" s="306"/>
      <c r="M13" s="131" t="s">
        <v>3510</v>
      </c>
    </row>
    <row r="14" spans="1:17">
      <c r="A14" s="131" t="s">
        <v>1287</v>
      </c>
      <c r="K14" s="158"/>
      <c r="L14" s="306"/>
    </row>
    <row r="15" spans="1:17">
      <c r="K15" s="158" t="s">
        <v>3433</v>
      </c>
      <c r="L15" s="306" t="s">
        <v>3511</v>
      </c>
      <c r="M15" s="131" t="s">
        <v>3512</v>
      </c>
      <c r="P15" s="131">
        <v>900</v>
      </c>
    </row>
    <row r="16" spans="1:17" s="95" customFormat="1" ht="20.100000000000001" customHeight="1">
      <c r="A16" s="90" t="s">
        <v>1113</v>
      </c>
      <c r="B16" s="91" t="s">
        <v>1114</v>
      </c>
      <c r="C16" s="92" t="s">
        <v>14</v>
      </c>
      <c r="D16" s="90"/>
      <c r="E16" s="93"/>
      <c r="F16" s="94" t="s">
        <v>13</v>
      </c>
      <c r="K16" s="158"/>
      <c r="L16" s="306"/>
      <c r="M16" s="131"/>
      <c r="N16" s="131"/>
      <c r="O16" s="131"/>
      <c r="P16" s="131"/>
      <c r="Q16" s="131"/>
    </row>
    <row r="17" spans="1:16">
      <c r="K17" s="158" t="s">
        <v>3433</v>
      </c>
      <c r="L17" s="306" t="s">
        <v>3513</v>
      </c>
      <c r="M17" s="131" t="s">
        <v>3514</v>
      </c>
      <c r="P17" s="131">
        <v>900</v>
      </c>
    </row>
    <row r="18" spans="1:16" ht="12.75" customHeight="1">
      <c r="A18" s="158"/>
      <c r="B18" s="158"/>
      <c r="C18" s="110" t="s">
        <v>5449</v>
      </c>
      <c r="K18" s="158"/>
      <c r="L18" s="305"/>
    </row>
    <row r="19" spans="1:16">
      <c r="C19" s="410"/>
      <c r="K19" s="140"/>
      <c r="L19" s="305"/>
    </row>
    <row r="20" spans="1:16">
      <c r="A20" s="158" t="s">
        <v>5435</v>
      </c>
      <c r="B20" s="158" t="s">
        <v>5450</v>
      </c>
      <c r="C20" s="131" t="s">
        <v>5451</v>
      </c>
      <c r="F20" s="131">
        <v>150</v>
      </c>
      <c r="M20" s="110" t="s">
        <v>3230</v>
      </c>
    </row>
    <row r="21" spans="1:16">
      <c r="C21" s="131" t="s">
        <v>5175</v>
      </c>
      <c r="F21" s="131">
        <f>F20*6%</f>
        <v>9</v>
      </c>
    </row>
    <row r="22" spans="1:16">
      <c r="K22" s="158" t="s">
        <v>3896</v>
      </c>
      <c r="L22" s="158" t="s">
        <v>3897</v>
      </c>
      <c r="M22" s="131" t="s">
        <v>3898</v>
      </c>
      <c r="P22" s="131">
        <v>900</v>
      </c>
    </row>
    <row r="23" spans="1:16">
      <c r="A23" s="158"/>
      <c r="B23" s="158"/>
    </row>
    <row r="24" spans="1:16">
      <c r="A24" s="158"/>
      <c r="B24" s="158"/>
      <c r="K24" s="158" t="s">
        <v>3899</v>
      </c>
      <c r="L24" s="141" t="s">
        <v>3900</v>
      </c>
      <c r="M24" s="131" t="s">
        <v>3901</v>
      </c>
      <c r="P24" s="131">
        <v>480</v>
      </c>
    </row>
    <row r="25" spans="1:16">
      <c r="M25" s="131" t="s">
        <v>3902</v>
      </c>
    </row>
    <row r="26" spans="1:16">
      <c r="A26" s="158"/>
      <c r="B26" s="306"/>
    </row>
    <row r="27" spans="1:16">
      <c r="B27" s="140"/>
    </row>
    <row r="28" spans="1:16">
      <c r="M28" s="110" t="s">
        <v>3096</v>
      </c>
    </row>
    <row r="30" spans="1:16">
      <c r="A30" s="158"/>
      <c r="B30" s="158"/>
      <c r="M30" s="131" t="s">
        <v>4492</v>
      </c>
      <c r="P30" s="131">
        <v>450</v>
      </c>
    </row>
    <row r="31" spans="1:16">
      <c r="M31" s="131" t="s">
        <v>4493</v>
      </c>
      <c r="P31" s="131">
        <f>P30*6%</f>
        <v>27</v>
      </c>
    </row>
    <row r="32" spans="1:16">
      <c r="A32" s="158"/>
      <c r="B32" s="306"/>
      <c r="M32" s="131" t="s">
        <v>1814</v>
      </c>
    </row>
    <row r="33" spans="1:16">
      <c r="B33" s="140"/>
    </row>
    <row r="34" spans="1:16">
      <c r="M34" s="131" t="s">
        <v>4491</v>
      </c>
      <c r="P34" s="131">
        <v>450</v>
      </c>
    </row>
    <row r="35" spans="1:16" ht="13.5" thickBot="1">
      <c r="F35" s="164">
        <f>SUM(F18:F34)</f>
        <v>159</v>
      </c>
      <c r="M35" s="131" t="s">
        <v>1814</v>
      </c>
      <c r="P35" s="131">
        <f>P34*6%</f>
        <v>27</v>
      </c>
    </row>
    <row r="36" spans="1:16" ht="13.5" thickTop="1"/>
    <row r="37" spans="1:16" ht="20.100000000000001" customHeight="1">
      <c r="A37" s="138" t="s">
        <v>1717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Hundred Fifty-Nine and NO/100 -----------</v>
      </c>
      <c r="C37" s="139"/>
      <c r="D37" s="139"/>
      <c r="E37" s="139"/>
      <c r="F37" s="139"/>
    </row>
    <row r="38" spans="1:16">
      <c r="A38" s="140"/>
      <c r="K38" s="158" t="s">
        <v>4609</v>
      </c>
      <c r="L38" s="158" t="s">
        <v>4610</v>
      </c>
      <c r="M38" s="131" t="s">
        <v>4611</v>
      </c>
      <c r="P38" s="131">
        <v>450</v>
      </c>
    </row>
    <row r="39" spans="1:16" ht="25.5">
      <c r="A39" s="143" t="s">
        <v>10</v>
      </c>
      <c r="D39" s="283" t="s">
        <v>2894</v>
      </c>
      <c r="E39" s="284"/>
      <c r="F39" s="285"/>
      <c r="M39" s="131" t="s">
        <v>1814</v>
      </c>
      <c r="P39" s="131">
        <f>P38*6%</f>
        <v>27</v>
      </c>
    </row>
    <row r="40" spans="1:16">
      <c r="A40" s="143"/>
      <c r="K40" s="158"/>
      <c r="L40" s="141"/>
    </row>
    <row r="41" spans="1:16">
      <c r="A41" s="143"/>
      <c r="D41" s="291"/>
      <c r="E41" s="291"/>
      <c r="F41" s="291"/>
      <c r="K41" s="158" t="s">
        <v>4612</v>
      </c>
      <c r="L41" s="158" t="s">
        <v>4613</v>
      </c>
      <c r="M41" s="131" t="s">
        <v>4614</v>
      </c>
      <c r="P41" s="131">
        <v>450</v>
      </c>
    </row>
    <row r="42" spans="1:16">
      <c r="A42" s="143"/>
      <c r="C42" s="141"/>
      <c r="D42" s="286"/>
      <c r="E42" s="287"/>
      <c r="F42" s="287"/>
      <c r="K42" s="158"/>
      <c r="L42" s="158"/>
      <c r="M42" s="131" t="s">
        <v>1814</v>
      </c>
      <c r="P42" s="131">
        <f>P41*6%</f>
        <v>27</v>
      </c>
    </row>
    <row r="43" spans="1:16">
      <c r="A43" s="142"/>
      <c r="B43" s="142"/>
    </row>
    <row r="44" spans="1:16">
      <c r="A44" s="143"/>
      <c r="K44" s="158" t="s">
        <v>4612</v>
      </c>
      <c r="L44" s="158" t="s">
        <v>4617</v>
      </c>
      <c r="M44" s="131" t="s">
        <v>4615</v>
      </c>
      <c r="P44" s="131">
        <v>450</v>
      </c>
    </row>
    <row r="45" spans="1:16">
      <c r="A45" s="143" t="s">
        <v>8</v>
      </c>
      <c r="D45" s="143" t="s">
        <v>7</v>
      </c>
      <c r="F45" s="144"/>
      <c r="M45" s="131" t="s">
        <v>4616</v>
      </c>
    </row>
    <row r="46" spans="1:16">
      <c r="A46" s="143"/>
      <c r="M46" s="131" t="s">
        <v>1814</v>
      </c>
      <c r="P46" s="131">
        <f>P44*6%</f>
        <v>27</v>
      </c>
    </row>
    <row r="47" spans="1:16">
      <c r="A47" s="143"/>
    </row>
    <row r="48" spans="1:16">
      <c r="A48" s="143"/>
    </row>
    <row r="49" spans="1:16">
      <c r="A49" s="248"/>
      <c r="B49" s="142"/>
      <c r="D49" s="142"/>
      <c r="E49" s="142"/>
      <c r="F49" s="142"/>
    </row>
    <row r="50" spans="1:16" s="147" customFormat="1" ht="17.100000000000001" customHeight="1">
      <c r="A50" s="143" t="s">
        <v>2948</v>
      </c>
      <c r="B50" s="146"/>
      <c r="D50" s="147" t="s">
        <v>3</v>
      </c>
    </row>
    <row r="51" spans="1:16">
      <c r="A51" s="143"/>
      <c r="D51" s="131" t="s">
        <v>2</v>
      </c>
      <c r="M51" s="110" t="s">
        <v>4157</v>
      </c>
    </row>
    <row r="52" spans="1:16">
      <c r="A52" s="143"/>
    </row>
    <row r="53" spans="1:16">
      <c r="D53" s="110" t="s">
        <v>1</v>
      </c>
      <c r="M53" s="131" t="s">
        <v>4733</v>
      </c>
      <c r="P53" s="131">
        <v>480</v>
      </c>
    </row>
    <row r="54" spans="1:16">
      <c r="D54" s="110" t="s">
        <v>0</v>
      </c>
      <c r="M54" s="131" t="s">
        <v>4734</v>
      </c>
    </row>
    <row r="55" spans="1:16">
      <c r="M55" s="131" t="s">
        <v>1814</v>
      </c>
      <c r="P55" s="131">
        <f>P53*6%</f>
        <v>28.799999999999997</v>
      </c>
    </row>
    <row r="57" spans="1:16">
      <c r="K57" s="158" t="s">
        <v>4744</v>
      </c>
      <c r="L57" s="158" t="s">
        <v>4832</v>
      </c>
      <c r="M57" s="131" t="s">
        <v>4833</v>
      </c>
      <c r="P57" s="131">
        <v>100</v>
      </c>
    </row>
    <row r="58" spans="1:16">
      <c r="M58" s="410" t="s">
        <v>4834</v>
      </c>
    </row>
    <row r="59" spans="1:16">
      <c r="K59" s="158"/>
      <c r="L59" s="158"/>
      <c r="M59" s="131" t="s">
        <v>1814</v>
      </c>
      <c r="P59" s="131">
        <f>P57*6%</f>
        <v>6</v>
      </c>
    </row>
    <row r="62" spans="1:16">
      <c r="M62" s="131" t="s">
        <v>4857</v>
      </c>
      <c r="P62" s="131">
        <v>900</v>
      </c>
    </row>
    <row r="63" spans="1:16">
      <c r="M63" s="131" t="s">
        <v>4858</v>
      </c>
    </row>
    <row r="64" spans="1:16">
      <c r="M64" s="131" t="s">
        <v>1814</v>
      </c>
      <c r="P64" s="131">
        <f>P62*6%</f>
        <v>54</v>
      </c>
    </row>
    <row r="68" spans="11:16">
      <c r="M68" s="131" t="s">
        <v>4859</v>
      </c>
      <c r="P68" s="131">
        <v>450</v>
      </c>
    </row>
    <row r="69" spans="11:16">
      <c r="M69" s="131" t="s">
        <v>4970</v>
      </c>
    </row>
    <row r="70" spans="11:16">
      <c r="M70" s="131" t="s">
        <v>1814</v>
      </c>
      <c r="P70" s="131">
        <f>P68*6%</f>
        <v>27</v>
      </c>
    </row>
    <row r="73" spans="11:16">
      <c r="M73" s="131" t="s">
        <v>5023</v>
      </c>
      <c r="P73" s="131">
        <v>900</v>
      </c>
    </row>
    <row r="74" spans="11:16">
      <c r="M74" s="131" t="s">
        <v>5024</v>
      </c>
    </row>
    <row r="78" spans="11:16">
      <c r="K78" s="158"/>
      <c r="L78" s="158" t="s">
        <v>5436</v>
      </c>
      <c r="M78" s="131" t="s">
        <v>5398</v>
      </c>
      <c r="P78" s="131">
        <v>500</v>
      </c>
    </row>
    <row r="79" spans="11:16">
      <c r="M79" s="131" t="s">
        <v>5399</v>
      </c>
    </row>
    <row r="80" spans="11:16">
      <c r="M80" s="131" t="s">
        <v>5175</v>
      </c>
      <c r="P80" s="131">
        <v>30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5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82DF6-5647-4699-AD3B-6B5EF2D8B555}">
  <sheetPr codeName="Sheet538"/>
  <dimension ref="A1:P57"/>
  <sheetViews>
    <sheetView topLeftCell="A8" zoomScaleNormal="100" workbookViewId="0">
      <selection activeCell="G9" sqref="G9:G13"/>
    </sheetView>
  </sheetViews>
  <sheetFormatPr defaultRowHeight="12.75"/>
  <cols>
    <col min="1" max="1" width="16" style="111" customWidth="1"/>
    <col min="2" max="2" width="13.42578125" style="111" customWidth="1"/>
    <col min="3" max="3" width="0.85546875" style="111" customWidth="1"/>
    <col min="4" max="4" width="21" style="111" customWidth="1"/>
    <col min="5" max="5" width="1.140625" style="111" customWidth="1"/>
    <col min="6" max="6" width="16.42578125" style="111" customWidth="1"/>
    <col min="7" max="7" width="9" style="111" customWidth="1"/>
    <col min="8" max="8" width="13.28515625" style="111" customWidth="1"/>
    <col min="9" max="9" width="9.140625" style="1"/>
    <col min="10" max="10" width="10.42578125" style="1" bestFit="1" customWidth="1"/>
    <col min="11" max="15" width="9.140625" style="1"/>
    <col min="16" max="16" width="12.28515625" style="1" bestFit="1" customWidth="1"/>
    <col min="17" max="16384" width="9.140625" style="1"/>
  </cols>
  <sheetData>
    <row r="1" spans="1:16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6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6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6">
      <c r="A4" s="530" t="s">
        <v>1684</v>
      </c>
      <c r="B4" s="530"/>
      <c r="C4" s="530"/>
      <c r="D4" s="530"/>
      <c r="E4" s="530"/>
      <c r="F4" s="530"/>
      <c r="G4" s="530"/>
      <c r="H4" s="530"/>
    </row>
    <row r="7" spans="1:16">
      <c r="J7" s="425"/>
      <c r="K7" s="425"/>
    </row>
    <row r="8" spans="1:16">
      <c r="A8" s="111" t="s">
        <v>24</v>
      </c>
      <c r="F8" s="22" t="s">
        <v>23</v>
      </c>
      <c r="J8" s="425"/>
      <c r="K8" s="425"/>
    </row>
    <row r="9" spans="1:16">
      <c r="F9" s="112" t="s">
        <v>1110</v>
      </c>
      <c r="G9" s="111" t="s">
        <v>5456</v>
      </c>
      <c r="J9" s="425"/>
      <c r="K9" s="425"/>
    </row>
    <row r="10" spans="1:16">
      <c r="A10" s="111" t="s">
        <v>5457</v>
      </c>
      <c r="F10" s="112" t="s">
        <v>1685</v>
      </c>
      <c r="G10" s="112" t="s">
        <v>5434</v>
      </c>
      <c r="J10" s="425"/>
      <c r="K10" s="425"/>
    </row>
    <row r="11" spans="1:16">
      <c r="A11" s="111" t="s">
        <v>5458</v>
      </c>
      <c r="F11" s="112" t="s">
        <v>1163</v>
      </c>
      <c r="G11" s="112" t="s">
        <v>1094</v>
      </c>
      <c r="J11" s="425"/>
      <c r="K11" s="425"/>
    </row>
    <row r="12" spans="1:16">
      <c r="A12" s="111" t="s">
        <v>5459</v>
      </c>
      <c r="F12" s="112" t="s">
        <v>1188</v>
      </c>
      <c r="G12" s="112"/>
    </row>
    <row r="13" spans="1:16">
      <c r="A13" s="111" t="s">
        <v>5460</v>
      </c>
    </row>
    <row r="14" spans="1:16">
      <c r="A14" s="111" t="s">
        <v>1896</v>
      </c>
    </row>
    <row r="16" spans="1:16" s="15" customFormat="1" ht="20.100000000000001" customHeight="1">
      <c r="A16" s="129" t="s">
        <v>1097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L16" s="111" t="s">
        <v>5452</v>
      </c>
      <c r="M16" s="111"/>
      <c r="N16" s="111"/>
      <c r="O16" s="111"/>
      <c r="P16" s="111">
        <v>120841.5</v>
      </c>
    </row>
    <row r="17" spans="1:16">
      <c r="A17" s="173"/>
      <c r="L17" s="111" t="s">
        <v>5453</v>
      </c>
      <c r="M17" s="111"/>
      <c r="N17" s="111"/>
      <c r="O17" s="111"/>
      <c r="P17" s="111"/>
    </row>
    <row r="18" spans="1:16">
      <c r="D18" s="2" t="s">
        <v>5461</v>
      </c>
      <c r="E18" s="2"/>
      <c r="L18" s="111"/>
      <c r="M18" s="111"/>
      <c r="N18" s="111"/>
      <c r="O18" s="111"/>
      <c r="P18" s="111"/>
    </row>
    <row r="19" spans="1:16">
      <c r="A19" s="173"/>
      <c r="D19" s="2"/>
      <c r="E19" s="2"/>
      <c r="L19" s="111" t="s">
        <v>5454</v>
      </c>
      <c r="M19" s="111"/>
      <c r="N19" s="111"/>
      <c r="O19" s="111"/>
      <c r="P19" s="111">
        <v>362524.5</v>
      </c>
    </row>
    <row r="20" spans="1:16">
      <c r="A20" s="116" t="s">
        <v>5435</v>
      </c>
      <c r="B20" s="116" t="s">
        <v>5462</v>
      </c>
      <c r="C20" s="116"/>
      <c r="D20" s="111" t="s">
        <v>5463</v>
      </c>
      <c r="H20" s="111">
        <v>143011.20000000001</v>
      </c>
      <c r="L20" s="111" t="s">
        <v>5455</v>
      </c>
      <c r="M20" s="111"/>
      <c r="N20" s="111"/>
      <c r="O20" s="111"/>
      <c r="P20" s="111"/>
    </row>
    <row r="21" spans="1:16">
      <c r="A21" s="116"/>
      <c r="B21" s="120"/>
      <c r="C21" s="120"/>
      <c r="D21" s="111" t="s">
        <v>5464</v>
      </c>
      <c r="H21" s="111">
        <v>438.8</v>
      </c>
      <c r="L21" s="111"/>
      <c r="M21" s="111"/>
      <c r="N21" s="111"/>
      <c r="O21" s="111"/>
      <c r="P21" s="111"/>
    </row>
    <row r="22" spans="1:16">
      <c r="A22" s="116"/>
      <c r="B22" s="121"/>
      <c r="C22" s="121"/>
      <c r="D22" s="111" t="s">
        <v>5465</v>
      </c>
      <c r="H22" s="111">
        <v>4353.22</v>
      </c>
      <c r="L22" s="111"/>
      <c r="M22" s="111"/>
      <c r="N22" s="111"/>
      <c r="O22" s="111"/>
      <c r="P22" s="111"/>
    </row>
    <row r="23" spans="1:16">
      <c r="A23" s="116"/>
      <c r="B23" s="116"/>
      <c r="C23" s="116"/>
      <c r="D23" s="111" t="s">
        <v>5466</v>
      </c>
      <c r="H23" s="111">
        <v>500</v>
      </c>
    </row>
    <row r="24" spans="1:16">
      <c r="A24" s="116"/>
      <c r="B24" s="116"/>
      <c r="C24" s="116"/>
      <c r="D24" s="111" t="s">
        <v>5471</v>
      </c>
      <c r="H24" s="111">
        <v>-0.02</v>
      </c>
    </row>
    <row r="25" spans="1:16">
      <c r="A25" s="116" t="s">
        <v>5435</v>
      </c>
      <c r="B25" s="121" t="s">
        <v>5468</v>
      </c>
      <c r="C25" s="121"/>
      <c r="D25" s="111" t="s">
        <v>5467</v>
      </c>
      <c r="H25" s="111">
        <v>-2500</v>
      </c>
      <c r="J25" s="1">
        <f>SUM(H20:H25)</f>
        <v>145803.20000000001</v>
      </c>
    </row>
    <row r="26" spans="1:16">
      <c r="A26" s="116"/>
      <c r="B26" s="116"/>
      <c r="C26" s="116"/>
    </row>
    <row r="27" spans="1:16">
      <c r="A27" s="116"/>
      <c r="B27" s="120"/>
      <c r="C27" s="120"/>
      <c r="D27" s="111" t="s">
        <v>5469</v>
      </c>
      <c r="H27" s="111">
        <v>-10000</v>
      </c>
    </row>
    <row r="28" spans="1:16">
      <c r="A28" s="116"/>
      <c r="B28" s="121"/>
      <c r="C28" s="121"/>
    </row>
    <row r="29" spans="1:16">
      <c r="A29" s="116"/>
      <c r="B29" s="116"/>
      <c r="C29" s="116"/>
      <c r="D29" s="111" t="s">
        <v>5470</v>
      </c>
      <c r="H29" s="111">
        <v>-1000</v>
      </c>
    </row>
    <row r="30" spans="1:16">
      <c r="A30" s="116"/>
      <c r="B30" s="116"/>
      <c r="C30" s="116"/>
    </row>
    <row r="31" spans="1:16">
      <c r="A31" s="116"/>
      <c r="B31" s="116"/>
      <c r="C31" s="116"/>
    </row>
    <row r="32" spans="1:16">
      <c r="A32" s="116"/>
      <c r="B32" s="116"/>
      <c r="C32" s="116"/>
    </row>
    <row r="33" spans="1:8">
      <c r="A33" s="116"/>
      <c r="B33" s="116"/>
      <c r="C33" s="116"/>
    </row>
    <row r="34" spans="1:8">
      <c r="A34" s="116"/>
      <c r="B34" s="116"/>
      <c r="C34" s="116"/>
    </row>
    <row r="35" spans="1:8">
      <c r="A35" s="116"/>
      <c r="B35" s="116"/>
      <c r="C35" s="116"/>
    </row>
    <row r="36" spans="1:8">
      <c r="A36" s="7"/>
      <c r="B36" s="1"/>
      <c r="C36" s="1"/>
      <c r="D36" s="1"/>
      <c r="E36" s="1"/>
      <c r="F36" s="1"/>
      <c r="G36" s="1"/>
      <c r="H36" s="1"/>
    </row>
    <row r="37" spans="1:8" ht="13.5" thickBot="1">
      <c r="A37" s="173"/>
      <c r="H37" s="117">
        <f>SUM(H19:H36)</f>
        <v>134803.20000000001</v>
      </c>
    </row>
    <row r="38" spans="1:8" ht="13.5" thickTop="1">
      <c r="A38" s="173"/>
    </row>
    <row r="39" spans="1:8" ht="20.100000000000001" customHeight="1">
      <c r="A39" s="118" t="s">
        <v>1686</v>
      </c>
      <c r="B39" s="202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>One Hundred Thirty-Four Thousand Eight Hundred Three and 20/100 -----------</v>
      </c>
      <c r="C39" s="202"/>
      <c r="D39" s="119"/>
      <c r="E39" s="119"/>
      <c r="F39" s="339"/>
      <c r="G39" s="340"/>
      <c r="H39" s="340"/>
    </row>
    <row r="40" spans="1:8">
      <c r="A40" s="120"/>
    </row>
    <row r="41" spans="1:8" ht="25.5">
      <c r="A41" s="111" t="s">
        <v>10</v>
      </c>
      <c r="D41" s="111" t="s">
        <v>8</v>
      </c>
      <c r="F41" s="265" t="s">
        <v>2894</v>
      </c>
      <c r="G41" s="266"/>
      <c r="H41" s="267"/>
    </row>
    <row r="42" spans="1:8">
      <c r="F42" s="309"/>
      <c r="G42" s="309"/>
      <c r="H42" s="309"/>
    </row>
    <row r="43" spans="1:8">
      <c r="F43" s="310"/>
      <c r="G43" s="311"/>
      <c r="H43" s="311"/>
    </row>
    <row r="44" spans="1:8">
      <c r="A44" s="1"/>
    </row>
    <row r="45" spans="1:8">
      <c r="A45" s="122"/>
      <c r="B45" s="122"/>
      <c r="D45" s="122" t="s">
        <v>51</v>
      </c>
    </row>
    <row r="46" spans="1:8">
      <c r="D46" s="126" t="s">
        <v>103</v>
      </c>
    </row>
    <row r="47" spans="1:8">
      <c r="D47" s="126"/>
    </row>
    <row r="48" spans="1:8">
      <c r="A48" s="111" t="s">
        <v>8</v>
      </c>
      <c r="D48" s="111" t="s">
        <v>8</v>
      </c>
      <c r="F48" s="123" t="s">
        <v>7</v>
      </c>
      <c r="H48" s="124"/>
    </row>
    <row r="52" spans="1:8">
      <c r="A52" s="122" t="s">
        <v>51</v>
      </c>
      <c r="B52" s="122"/>
      <c r="D52" s="122" t="s">
        <v>51</v>
      </c>
      <c r="F52" s="122"/>
      <c r="G52" s="122"/>
      <c r="H52" s="122"/>
    </row>
    <row r="53" spans="1:8" s="3" customFormat="1" ht="17.100000000000001" customHeight="1">
      <c r="A53" s="126" t="s">
        <v>2948</v>
      </c>
      <c r="B53" s="125"/>
      <c r="C53" s="125"/>
      <c r="D53" s="126" t="s">
        <v>103</v>
      </c>
      <c r="E53" s="126"/>
      <c r="F53" s="126" t="s">
        <v>3</v>
      </c>
      <c r="G53" s="126"/>
      <c r="H53" s="126"/>
    </row>
    <row r="54" spans="1:8">
      <c r="F54" s="111" t="s">
        <v>2</v>
      </c>
    </row>
    <row r="56" spans="1:8">
      <c r="F56" s="2" t="s">
        <v>1</v>
      </c>
    </row>
    <row r="57" spans="1:8">
      <c r="F57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5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3379-D35B-48E7-BEF4-5D35F70A3E45}">
  <sheetPr codeName="Sheet545"/>
  <dimension ref="A1:I60"/>
  <sheetViews>
    <sheetView view="pageBreakPreview" topLeftCell="A4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2.5703125" style="227" customWidth="1"/>
    <col min="3" max="3" width="1.42578125" style="227" customWidth="1"/>
    <col min="4" max="4" width="19.5703125" style="227" customWidth="1"/>
    <col min="5" max="5" width="0.85546875" style="227" customWidth="1"/>
    <col min="6" max="6" width="15.140625" style="227" customWidth="1"/>
    <col min="7" max="7" width="11.42578125" style="227" customWidth="1"/>
    <col min="8" max="8" width="13.28515625" style="227" customWidth="1"/>
    <col min="9" max="9" width="16.140625" style="209" customWidth="1"/>
    <col min="10" max="11" width="9.140625" style="209"/>
    <col min="12" max="12" width="9.7109375" style="209" bestFit="1" customWidth="1"/>
    <col min="13" max="16384" width="9.140625" style="209"/>
  </cols>
  <sheetData>
    <row r="1" spans="1:9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9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9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9" ht="12.75" customHeight="1">
      <c r="A4" s="532" t="s">
        <v>1684</v>
      </c>
      <c r="B4" s="532"/>
      <c r="C4" s="532"/>
      <c r="D4" s="532"/>
      <c r="E4" s="532"/>
      <c r="F4" s="532"/>
      <c r="G4" s="532"/>
      <c r="H4" s="532"/>
    </row>
    <row r="5" spans="1:9" ht="12.75" hidden="1" customHeight="1">
      <c r="A5" s="131"/>
      <c r="B5" s="131"/>
      <c r="C5" s="131"/>
      <c r="D5" s="131"/>
      <c r="E5" s="131"/>
      <c r="F5" s="131"/>
      <c r="G5" s="131"/>
      <c r="H5" s="131"/>
    </row>
    <row r="6" spans="1:9" ht="12.75" hidden="1" customHeight="1">
      <c r="A6" s="131"/>
      <c r="B6" s="131"/>
      <c r="C6" s="131"/>
      <c r="D6" s="131"/>
      <c r="E6" s="131"/>
      <c r="F6" s="131"/>
      <c r="G6" s="131"/>
      <c r="H6" s="131"/>
    </row>
    <row r="7" spans="1:9" ht="12.75" customHeight="1">
      <c r="A7" s="131"/>
      <c r="B7" s="131"/>
      <c r="C7" s="131"/>
      <c r="D7" s="131"/>
      <c r="E7" s="131"/>
      <c r="F7" s="131"/>
      <c r="G7" s="131"/>
      <c r="H7" s="131"/>
    </row>
    <row r="8" spans="1:9" s="211" customFormat="1" ht="12.75" customHeight="1">
      <c r="A8" s="147" t="s">
        <v>24</v>
      </c>
      <c r="B8" s="147"/>
      <c r="C8" s="147"/>
      <c r="D8" s="147"/>
      <c r="E8" s="147"/>
      <c r="F8" s="210" t="s">
        <v>23</v>
      </c>
      <c r="G8" s="147"/>
      <c r="H8" s="147"/>
    </row>
    <row r="9" spans="1:9" s="211" customFormat="1" ht="12.75" customHeight="1">
      <c r="A9" s="147"/>
      <c r="B9" s="147"/>
      <c r="C9" s="147"/>
      <c r="D9" s="147"/>
      <c r="E9" s="147"/>
      <c r="F9" s="212" t="s">
        <v>1723</v>
      </c>
      <c r="G9" s="489" t="s">
        <v>6793</v>
      </c>
      <c r="H9" s="111"/>
    </row>
    <row r="10" spans="1:9" s="211" customFormat="1" ht="12.75" customHeight="1">
      <c r="A10" s="147" t="s">
        <v>5596</v>
      </c>
      <c r="B10" s="147"/>
      <c r="C10" s="147"/>
      <c r="D10" s="147"/>
      <c r="E10" s="147"/>
      <c r="F10" s="212" t="s">
        <v>1340</v>
      </c>
      <c r="G10" s="489" t="s">
        <v>6789</v>
      </c>
      <c r="H10" s="111"/>
    </row>
    <row r="11" spans="1:9" s="211" customFormat="1" ht="12.75" customHeight="1">
      <c r="A11" s="431" t="s">
        <v>5597</v>
      </c>
      <c r="B11" s="147"/>
      <c r="C11" s="147"/>
      <c r="D11" s="147"/>
      <c r="E11" s="147"/>
      <c r="F11" s="212" t="s">
        <v>1341</v>
      </c>
      <c r="G11" s="489" t="s">
        <v>1094</v>
      </c>
      <c r="H11" s="111"/>
    </row>
    <row r="12" spans="1:9" s="211" customFormat="1" ht="12.75" customHeight="1">
      <c r="A12" s="147"/>
      <c r="B12" s="147"/>
      <c r="C12" s="147"/>
      <c r="D12" s="147"/>
      <c r="E12" s="147"/>
      <c r="F12" s="212" t="s">
        <v>2136</v>
      </c>
      <c r="G12" s="486" t="s">
        <v>6794</v>
      </c>
      <c r="H12" s="111"/>
    </row>
    <row r="13" spans="1:9" s="211" customFormat="1" ht="12.75" customHeight="1">
      <c r="A13" s="147"/>
      <c r="B13" s="147"/>
      <c r="C13" s="147"/>
      <c r="D13" s="147"/>
      <c r="E13" s="147"/>
      <c r="F13" s="147"/>
      <c r="G13" s="488" t="s">
        <v>5914</v>
      </c>
      <c r="H13" s="147"/>
    </row>
    <row r="14" spans="1:9" s="211" customFormat="1" ht="12.75" customHeight="1">
      <c r="A14" s="147"/>
      <c r="B14" s="147"/>
      <c r="C14" s="147"/>
      <c r="D14" s="147"/>
      <c r="E14" s="147"/>
      <c r="F14" s="147"/>
      <c r="G14" s="147"/>
      <c r="H14" s="147"/>
    </row>
    <row r="15" spans="1:9" s="213" customFormat="1" ht="12.75" customHeight="1">
      <c r="A15" s="147"/>
      <c r="B15" s="147"/>
      <c r="C15" s="147"/>
      <c r="D15" s="147"/>
      <c r="E15" s="147"/>
      <c r="F15" s="147"/>
      <c r="G15" s="147"/>
      <c r="H15" s="147"/>
    </row>
    <row r="16" spans="1:9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I16" s="214"/>
    </row>
    <row r="17" spans="1:9" s="213" customFormat="1" ht="12.75" customHeight="1">
      <c r="A17" s="215"/>
      <c r="B17" s="216"/>
      <c r="C17" s="216"/>
      <c r="D17" s="217"/>
      <c r="E17" s="217"/>
      <c r="F17" s="216"/>
      <c r="G17" s="218"/>
      <c r="H17" s="219"/>
      <c r="I17" s="214"/>
    </row>
    <row r="18" spans="1:9" s="213" customFormat="1" ht="12.75" customHeight="1">
      <c r="A18" s="222"/>
      <c r="B18" s="281"/>
      <c r="C18" s="281"/>
      <c r="D18" s="319" t="s">
        <v>6796</v>
      </c>
      <c r="E18" s="145"/>
      <c r="F18" s="145"/>
      <c r="G18" s="145"/>
      <c r="H18" s="320"/>
      <c r="I18" s="318"/>
    </row>
    <row r="19" spans="1:9" s="213" customFormat="1" ht="12.75" customHeight="1">
      <c r="A19" s="222"/>
      <c r="B19" s="281"/>
      <c r="C19" s="281"/>
      <c r="D19" s="145"/>
      <c r="E19" s="145"/>
      <c r="F19" s="145"/>
      <c r="G19" s="145"/>
      <c r="H19" s="320"/>
      <c r="I19" s="318"/>
    </row>
    <row r="20" spans="1:9" s="213" customFormat="1" ht="12.75" customHeight="1">
      <c r="A20" s="492" t="s">
        <v>6795</v>
      </c>
      <c r="B20" s="281" t="s">
        <v>11</v>
      </c>
      <c r="C20" s="281"/>
      <c r="D20" s="145" t="s">
        <v>6797</v>
      </c>
      <c r="E20" s="145"/>
      <c r="F20" s="145"/>
      <c r="G20" s="145"/>
      <c r="H20" s="320">
        <v>1200</v>
      </c>
      <c r="I20" s="318"/>
    </row>
    <row r="21" spans="1:9" s="213" customFormat="1" ht="12.75" customHeight="1">
      <c r="A21" s="222"/>
      <c r="B21" s="281"/>
      <c r="C21" s="281"/>
      <c r="D21" s="145" t="s">
        <v>6798</v>
      </c>
      <c r="E21" s="145"/>
      <c r="F21" s="145"/>
      <c r="G21" s="145"/>
      <c r="H21" s="320">
        <v>1600</v>
      </c>
      <c r="I21" s="318"/>
    </row>
    <row r="22" spans="1:9" s="213" customFormat="1" ht="12.75" customHeight="1">
      <c r="A22" s="158"/>
      <c r="B22" s="281"/>
      <c r="C22" s="281"/>
      <c r="D22" s="145" t="s">
        <v>6799</v>
      </c>
      <c r="E22" s="145"/>
      <c r="F22" s="145"/>
      <c r="G22" s="145"/>
      <c r="H22" s="320">
        <f>46.2+190</f>
        <v>236.2</v>
      </c>
      <c r="I22" s="318"/>
    </row>
    <row r="23" spans="1:9" s="227" customFormat="1" ht="12.75" customHeight="1">
      <c r="A23" s="222"/>
      <c r="B23" s="281"/>
      <c r="C23" s="281"/>
      <c r="D23" s="145" t="s">
        <v>6800</v>
      </c>
      <c r="E23" s="145"/>
      <c r="F23" s="145"/>
      <c r="G23" s="145"/>
      <c r="H23" s="320">
        <f>665+360+300</f>
        <v>1325</v>
      </c>
    </row>
    <row r="24" spans="1:9" s="227" customFormat="1" ht="12.75" customHeight="1">
      <c r="A24" s="222"/>
      <c r="B24" s="281"/>
      <c r="C24" s="281"/>
      <c r="D24" s="494" t="s">
        <v>1790</v>
      </c>
      <c r="E24" s="145"/>
      <c r="F24" s="145"/>
      <c r="G24" s="145"/>
      <c r="H24" s="320"/>
    </row>
    <row r="25" spans="1:9" s="227" customFormat="1" ht="12.75" customHeight="1">
      <c r="A25" s="222"/>
      <c r="B25" s="281"/>
      <c r="C25" s="281"/>
      <c r="D25" s="145"/>
      <c r="E25" s="145"/>
      <c r="F25" s="145"/>
      <c r="G25" s="145"/>
      <c r="H25" s="320"/>
    </row>
    <row r="26" spans="1:9" s="227" customFormat="1" ht="12.75" customHeight="1">
      <c r="A26" s="222"/>
      <c r="B26" s="281"/>
      <c r="C26" s="281"/>
      <c r="D26" s="145"/>
      <c r="E26" s="145"/>
      <c r="F26" s="145"/>
      <c r="G26" s="145"/>
      <c r="H26" s="320"/>
    </row>
    <row r="27" spans="1:9" s="227" customFormat="1" ht="12.75" customHeight="1">
      <c r="A27" s="222"/>
      <c r="B27" s="281"/>
      <c r="C27" s="281"/>
      <c r="D27" s="145"/>
      <c r="E27" s="145"/>
      <c r="F27" s="145"/>
      <c r="G27" s="145"/>
      <c r="H27" s="320"/>
    </row>
    <row r="28" spans="1:9" s="227" customFormat="1" ht="12.75" customHeight="1">
      <c r="A28" s="222"/>
      <c r="B28" s="281"/>
      <c r="C28" s="281"/>
      <c r="D28" s="145"/>
      <c r="E28" s="145"/>
      <c r="F28" s="145"/>
      <c r="G28" s="145"/>
      <c r="H28" s="320"/>
    </row>
    <row r="29" spans="1:9" s="227" customFormat="1" ht="12.75" customHeight="1">
      <c r="A29" s="158"/>
      <c r="B29" s="281"/>
      <c r="C29" s="281"/>
      <c r="D29" s="145"/>
      <c r="E29" s="145"/>
      <c r="F29" s="145"/>
      <c r="G29" s="145"/>
      <c r="H29" s="320"/>
    </row>
    <row r="30" spans="1:9" s="227" customFormat="1" ht="12.75" customHeight="1">
      <c r="A30" s="222"/>
      <c r="B30" s="281"/>
      <c r="C30" s="281"/>
      <c r="D30" s="145"/>
      <c r="E30" s="145"/>
      <c r="F30" s="145"/>
      <c r="G30" s="145"/>
      <c r="H30" s="320"/>
    </row>
    <row r="31" spans="1:9" s="227" customFormat="1" ht="12.75" customHeight="1">
      <c r="A31" s="222"/>
      <c r="B31" s="281"/>
      <c r="C31" s="281"/>
      <c r="D31" s="319"/>
      <c r="E31" s="145"/>
      <c r="F31" s="145"/>
      <c r="G31" s="145"/>
      <c r="H31" s="320"/>
    </row>
    <row r="32" spans="1:9" s="227" customFormat="1" ht="12.75" customHeight="1">
      <c r="A32" s="222"/>
      <c r="B32" s="281"/>
      <c r="C32" s="281"/>
      <c r="D32" s="145"/>
      <c r="E32" s="145"/>
      <c r="F32" s="145"/>
      <c r="G32" s="145"/>
      <c r="H32" s="320"/>
    </row>
    <row r="33" spans="1:9" s="227" customFormat="1" ht="12.75" customHeight="1">
      <c r="A33" s="222"/>
      <c r="B33" s="281"/>
      <c r="C33" s="281"/>
      <c r="D33" s="145"/>
      <c r="E33" s="145"/>
      <c r="F33" s="145"/>
      <c r="G33" s="145"/>
      <c r="H33" s="320"/>
    </row>
    <row r="34" spans="1:9" s="227" customFormat="1" ht="15.75" customHeight="1">
      <c r="A34" s="222"/>
      <c r="B34" s="281"/>
      <c r="C34" s="281"/>
      <c r="D34" s="145"/>
      <c r="E34" s="145"/>
      <c r="F34" s="145"/>
      <c r="G34" s="145"/>
      <c r="H34" s="320"/>
    </row>
    <row r="35" spans="1:9" s="227" customFormat="1" ht="12.75" customHeight="1">
      <c r="A35" s="222"/>
      <c r="B35" s="281"/>
      <c r="C35" s="281"/>
      <c r="D35" s="145"/>
      <c r="E35" s="145"/>
      <c r="F35" s="145"/>
      <c r="G35" s="145"/>
      <c r="H35" s="320"/>
    </row>
    <row r="36" spans="1:9" s="211" customFormat="1" ht="15.75" customHeight="1" thickBot="1">
      <c r="A36" s="229"/>
      <c r="B36" s="224"/>
      <c r="C36" s="224"/>
      <c r="D36" s="224"/>
      <c r="E36" s="224"/>
      <c r="F36" s="224"/>
      <c r="G36" s="224"/>
      <c r="H36" s="230">
        <f>SUM(H18:H35)</f>
        <v>4361.2</v>
      </c>
      <c r="I36" s="221"/>
    </row>
    <row r="37" spans="1:9" s="211" customFormat="1" ht="12.75" customHeight="1" thickTop="1">
      <c r="A37" s="229"/>
      <c r="B37" s="224"/>
      <c r="C37" s="224"/>
      <c r="D37" s="224"/>
      <c r="E37" s="224"/>
      <c r="F37" s="224"/>
      <c r="G37" s="224"/>
      <c r="H37" s="224"/>
      <c r="I37" s="221"/>
    </row>
    <row r="38" spans="1:9" ht="20.100000000000001" customHeight="1">
      <c r="A38" s="138" t="s">
        <v>1133</v>
      </c>
      <c r="B38" s="204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Four Thousand Three Hundred Sixty-One and 20/100 -----------</v>
      </c>
      <c r="C38" s="204"/>
      <c r="D38" s="231"/>
      <c r="E38" s="231"/>
      <c r="F38" s="231"/>
      <c r="G38" s="231"/>
      <c r="H38" s="231"/>
    </row>
    <row r="39" spans="1:9" ht="12.75" customHeight="1">
      <c r="A39" s="232"/>
    </row>
    <row r="40" spans="1:9" ht="27" customHeight="1">
      <c r="A40" s="131" t="s">
        <v>10</v>
      </c>
      <c r="B40" s="131"/>
      <c r="C40" s="131"/>
      <c r="D40" s="131"/>
      <c r="E40" s="131"/>
      <c r="F40" s="283" t="s">
        <v>2894</v>
      </c>
      <c r="G40" s="284"/>
      <c r="H40" s="285"/>
    </row>
    <row r="41" spans="1:9" ht="12.75" customHeight="1">
      <c r="A41" s="131"/>
      <c r="B41" s="131"/>
      <c r="C41" s="131"/>
      <c r="D41" s="131"/>
      <c r="E41" s="131"/>
      <c r="F41" s="131"/>
      <c r="G41" s="131"/>
      <c r="H41" s="131"/>
    </row>
    <row r="42" spans="1:9" ht="12.75" customHeight="1">
      <c r="A42" s="131"/>
      <c r="B42" s="131"/>
      <c r="C42" s="131"/>
      <c r="D42" s="131"/>
      <c r="E42" s="131"/>
      <c r="F42" s="131"/>
      <c r="G42" s="131"/>
      <c r="H42" s="131"/>
    </row>
    <row r="43" spans="1:9">
      <c r="A43" s="301"/>
      <c r="B43" s="131"/>
      <c r="C43" s="131"/>
      <c r="D43" s="131"/>
      <c r="E43" s="131"/>
      <c r="F43" s="291"/>
      <c r="G43" s="291"/>
      <c r="H43" s="291"/>
    </row>
    <row r="44" spans="1:9">
      <c r="A44" s="248"/>
      <c r="B44" s="142"/>
      <c r="C44" s="131"/>
      <c r="D44" s="131"/>
      <c r="E44" s="131"/>
      <c r="F44" s="286"/>
      <c r="G44" s="287"/>
      <c r="H44" s="287"/>
    </row>
    <row r="45" spans="1:9" ht="12.75" customHeight="1">
      <c r="A45" s="301"/>
      <c r="B45" s="301"/>
      <c r="C45" s="301"/>
      <c r="D45" s="301"/>
      <c r="E45" s="131"/>
      <c r="F45" s="131"/>
      <c r="G45" s="131"/>
      <c r="H45" s="144"/>
    </row>
    <row r="46" spans="1:9" ht="12.75" customHeight="1">
      <c r="A46" s="143" t="s">
        <v>8</v>
      </c>
      <c r="B46" s="131"/>
      <c r="C46" s="131"/>
      <c r="D46" s="143" t="s">
        <v>8</v>
      </c>
      <c r="E46" s="131"/>
      <c r="F46" s="131"/>
      <c r="G46" s="131"/>
      <c r="H46" s="131"/>
    </row>
    <row r="47" spans="1:9" ht="12.75" customHeight="1">
      <c r="A47" s="301"/>
      <c r="B47" s="131"/>
      <c r="C47" s="131"/>
      <c r="D47" s="301"/>
      <c r="E47" s="131"/>
      <c r="F47" s="143" t="s">
        <v>7</v>
      </c>
      <c r="G47" s="131"/>
      <c r="H47" s="131"/>
    </row>
    <row r="48" spans="1:9" ht="12.75" customHeight="1">
      <c r="A48" s="143"/>
      <c r="B48" s="131"/>
      <c r="C48" s="131"/>
      <c r="D48" s="143"/>
      <c r="E48" s="131"/>
      <c r="F48" s="131"/>
      <c r="G48" s="131"/>
      <c r="H48" s="131"/>
    </row>
    <row r="49" spans="1:8" ht="12.75" customHeight="1">
      <c r="A49" s="143"/>
      <c r="B49" s="131"/>
      <c r="C49" s="131"/>
      <c r="D49" s="143"/>
      <c r="E49" s="131"/>
      <c r="F49" s="131"/>
      <c r="G49" s="131"/>
      <c r="H49" s="131"/>
    </row>
    <row r="50" spans="1:8" s="211" customFormat="1" ht="12.75" customHeight="1">
      <c r="A50" s="143"/>
      <c r="B50" s="131"/>
      <c r="C50" s="131"/>
      <c r="D50" s="143"/>
      <c r="E50" s="131"/>
      <c r="F50" s="131"/>
      <c r="G50" s="147"/>
      <c r="H50" s="147"/>
    </row>
    <row r="51" spans="1:8" ht="12.75" customHeight="1">
      <c r="A51" s="248"/>
      <c r="B51" s="142"/>
      <c r="C51" s="131"/>
      <c r="D51" s="248"/>
      <c r="E51" s="131"/>
      <c r="F51" s="142"/>
      <c r="G51" s="142"/>
      <c r="H51" s="142"/>
    </row>
    <row r="52" spans="1:8" ht="15" customHeight="1">
      <c r="A52" s="143" t="s">
        <v>2948</v>
      </c>
      <c r="B52" s="146"/>
      <c r="C52" s="146"/>
      <c r="D52" s="143" t="s">
        <v>103</v>
      </c>
      <c r="E52" s="147"/>
      <c r="F52" s="147" t="s">
        <v>3</v>
      </c>
      <c r="G52" s="131"/>
      <c r="H52" s="131"/>
    </row>
    <row r="53" spans="1:8" ht="12.75" customHeight="1">
      <c r="A53" s="143"/>
      <c r="B53" s="131"/>
      <c r="C53" s="131"/>
      <c r="D53" s="131"/>
      <c r="E53" s="131"/>
      <c r="F53" s="131" t="s">
        <v>2</v>
      </c>
      <c r="G53" s="131"/>
      <c r="H53" s="131"/>
    </row>
    <row r="54" spans="1:8" ht="12.75" customHeight="1">
      <c r="A54" s="131"/>
      <c r="B54" s="131"/>
      <c r="C54" s="131"/>
      <c r="D54" s="131"/>
      <c r="E54" s="131"/>
      <c r="F54" s="131"/>
      <c r="G54" s="131"/>
      <c r="H54" s="131"/>
    </row>
    <row r="55" spans="1:8" ht="12.75" customHeight="1">
      <c r="A55" s="131"/>
      <c r="B55" s="131"/>
      <c r="C55" s="131"/>
      <c r="D55" s="131"/>
      <c r="E55" s="131"/>
      <c r="F55" s="110" t="s">
        <v>1</v>
      </c>
      <c r="G55" s="131"/>
      <c r="H55" s="131"/>
    </row>
    <row r="56" spans="1:8" ht="12.75" customHeight="1">
      <c r="A56" s="131"/>
      <c r="B56" s="131"/>
      <c r="C56" s="131"/>
      <c r="D56" s="131"/>
      <c r="E56" s="131"/>
      <c r="F56" s="110" t="s">
        <v>0</v>
      </c>
      <c r="G56" s="131"/>
      <c r="H56" s="131"/>
    </row>
    <row r="57" spans="1:8" ht="12.75" customHeight="1">
      <c r="A57" s="131"/>
      <c r="B57" s="131"/>
      <c r="C57" s="131"/>
      <c r="D57" s="131"/>
      <c r="E57" s="131"/>
      <c r="F57" s="131"/>
      <c r="G57" s="131"/>
      <c r="H57" s="131"/>
    </row>
    <row r="58" spans="1:8" ht="12.75" customHeight="1">
      <c r="A58" s="131"/>
      <c r="B58" s="131"/>
      <c r="C58" s="131"/>
      <c r="D58" s="131"/>
      <c r="E58" s="131"/>
      <c r="F58" s="131"/>
      <c r="G58" s="131"/>
      <c r="H58" s="131"/>
    </row>
    <row r="59" spans="1:8">
      <c r="A59" s="131"/>
      <c r="B59" s="131"/>
      <c r="C59" s="131"/>
      <c r="D59" s="131"/>
      <c r="E59" s="131"/>
      <c r="F59" s="131"/>
      <c r="G59" s="131"/>
      <c r="H59" s="131"/>
    </row>
    <row r="60" spans="1:8">
      <c r="A60" s="131"/>
      <c r="B60" s="131"/>
      <c r="C60" s="131"/>
      <c r="D60" s="131"/>
      <c r="E60" s="131"/>
      <c r="F60" s="131"/>
      <c r="G60" s="131"/>
      <c r="H60" s="131"/>
    </row>
  </sheetData>
  <mergeCells count="4">
    <mergeCell ref="A1:H1"/>
    <mergeCell ref="A2:H2"/>
    <mergeCell ref="A3:H3"/>
    <mergeCell ref="A4:H4"/>
  </mergeCells>
  <hyperlinks>
    <hyperlink ref="A11" r:id="rId1" xr:uid="{FE4A0EE0-7695-4362-AAC3-8025E3EEE943}"/>
  </hyperlinks>
  <printOptions horizontalCentered="1"/>
  <pageMargins left="0.74803149606299213" right="0.74803149606299213" top="0.78740157480314965" bottom="0.78740157480314965" header="0.51181102362204722" footer="0.51181102362204722"/>
  <pageSetup paperSize="9" scale="92" orientation="portrait" r:id="rId2"/>
  <headerFooter alignWithMargins="0">
    <oddFooter>Page &amp;P of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426"/>
  <dimension ref="A1:G60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3.85546875" style="227" customWidth="1"/>
    <col min="3" max="3" width="19.85546875" style="227" customWidth="1"/>
    <col min="4" max="4" width="16.42578125" style="227" customWidth="1"/>
    <col min="5" max="5" width="8.140625" style="227" customWidth="1"/>
    <col min="6" max="6" width="13.28515625" style="227" customWidth="1"/>
    <col min="7" max="7" width="16.140625" style="209" customWidth="1"/>
    <col min="8" max="16384" width="9.140625" style="209"/>
  </cols>
  <sheetData>
    <row r="1" spans="1:7" ht="15" customHeight="1">
      <c r="A1" s="531" t="s">
        <v>26</v>
      </c>
      <c r="B1" s="531"/>
      <c r="C1" s="531"/>
      <c r="D1" s="531"/>
      <c r="E1" s="531"/>
      <c r="F1" s="531"/>
    </row>
    <row r="2" spans="1:7" ht="12.75" customHeight="1">
      <c r="A2" s="532" t="s">
        <v>25</v>
      </c>
      <c r="B2" s="532"/>
      <c r="C2" s="532"/>
      <c r="D2" s="532"/>
      <c r="E2" s="532"/>
      <c r="F2" s="532"/>
    </row>
    <row r="3" spans="1:7" ht="12.75" customHeight="1">
      <c r="A3" s="532" t="s">
        <v>1480</v>
      </c>
      <c r="B3" s="532"/>
      <c r="C3" s="532"/>
      <c r="D3" s="532"/>
      <c r="E3" s="532"/>
      <c r="F3" s="532"/>
    </row>
    <row r="4" spans="1:7" ht="12.75" customHeight="1">
      <c r="A4" s="532" t="s">
        <v>1684</v>
      </c>
      <c r="B4" s="532"/>
      <c r="C4" s="532"/>
      <c r="D4" s="532"/>
      <c r="E4" s="532"/>
      <c r="F4" s="532"/>
    </row>
    <row r="5" spans="1:7" ht="12.75" customHeight="1">
      <c r="A5" s="131"/>
      <c r="B5" s="131"/>
      <c r="C5" s="131"/>
      <c r="D5" s="131"/>
      <c r="E5" s="131"/>
      <c r="F5" s="131"/>
    </row>
    <row r="6" spans="1:7" ht="12.75" customHeight="1">
      <c r="A6" s="131"/>
      <c r="B6" s="131"/>
      <c r="C6" s="131"/>
      <c r="D6" s="131"/>
      <c r="E6" s="131"/>
      <c r="F6" s="131"/>
    </row>
    <row r="7" spans="1:7" ht="12.75" customHeight="1">
      <c r="A7" s="131"/>
      <c r="B7" s="131"/>
      <c r="C7" s="131"/>
      <c r="D7" s="131"/>
      <c r="E7" s="131"/>
      <c r="F7" s="131"/>
    </row>
    <row r="8" spans="1:7" s="211" customFormat="1" ht="12.75" customHeight="1">
      <c r="A8" s="147" t="s">
        <v>24</v>
      </c>
      <c r="B8" s="147"/>
      <c r="C8" s="147"/>
      <c r="D8" s="210" t="s">
        <v>23</v>
      </c>
      <c r="E8" s="147"/>
      <c r="F8" s="147"/>
    </row>
    <row r="9" spans="1:7" s="211" customFormat="1" ht="12.75" customHeight="1">
      <c r="A9" s="147"/>
      <c r="B9" s="147"/>
      <c r="C9" s="147"/>
      <c r="D9" s="212" t="s">
        <v>1723</v>
      </c>
      <c r="E9" s="131" t="s">
        <v>3771</v>
      </c>
      <c r="F9" s="131"/>
    </row>
    <row r="10" spans="1:7" s="211" customFormat="1" ht="12.75" customHeight="1">
      <c r="A10" s="147" t="s">
        <v>3773</v>
      </c>
      <c r="B10" s="147"/>
      <c r="C10" s="147"/>
      <c r="D10" s="212" t="s">
        <v>1340</v>
      </c>
      <c r="E10" s="143" t="s">
        <v>3765</v>
      </c>
      <c r="F10" s="131"/>
    </row>
    <row r="11" spans="1:7" s="211" customFormat="1" ht="12.75" customHeight="1">
      <c r="A11" s="147" t="s">
        <v>3774</v>
      </c>
      <c r="B11" s="147"/>
      <c r="C11" s="147"/>
      <c r="D11" s="212" t="s">
        <v>1341</v>
      </c>
      <c r="E11" s="132" t="s">
        <v>1094</v>
      </c>
      <c r="F11" s="131"/>
    </row>
    <row r="12" spans="1:7" s="211" customFormat="1" ht="12.75" customHeight="1">
      <c r="A12" s="147" t="s">
        <v>3775</v>
      </c>
      <c r="B12" s="147"/>
      <c r="C12" s="147"/>
      <c r="D12" s="212" t="s">
        <v>2136</v>
      </c>
      <c r="E12" s="140" t="s">
        <v>3772</v>
      </c>
      <c r="F12" s="131"/>
    </row>
    <row r="13" spans="1:7" s="211" customFormat="1" ht="12.75" customHeight="1">
      <c r="A13" s="147" t="s">
        <v>1647</v>
      </c>
      <c r="B13" s="147"/>
      <c r="C13" s="147"/>
      <c r="D13" s="147"/>
      <c r="E13" s="131"/>
      <c r="F13" s="147"/>
    </row>
    <row r="14" spans="1:7" s="211" customFormat="1" ht="12.75" customHeight="1">
      <c r="A14" s="147" t="s">
        <v>3776</v>
      </c>
      <c r="B14" s="147"/>
      <c r="C14" s="147"/>
      <c r="D14" s="147"/>
      <c r="E14" s="147"/>
      <c r="F14" s="147"/>
    </row>
    <row r="15" spans="1:7" s="213" customFormat="1" ht="12.75" customHeight="1">
      <c r="A15" s="147"/>
      <c r="B15" s="147"/>
      <c r="C15" s="147"/>
      <c r="D15" s="147"/>
      <c r="E15" s="147"/>
      <c r="F15" s="147"/>
    </row>
    <row r="16" spans="1:7" s="213" customFormat="1">
      <c r="A16" s="91" t="s">
        <v>1122</v>
      </c>
      <c r="B16" s="91" t="s">
        <v>1098</v>
      </c>
      <c r="C16" s="92" t="s">
        <v>14</v>
      </c>
      <c r="D16" s="90"/>
      <c r="E16" s="91"/>
      <c r="F16" s="94" t="s">
        <v>13</v>
      </c>
      <c r="G16" s="214"/>
    </row>
    <row r="17" spans="1:7" s="213" customFormat="1" ht="12.75" customHeight="1">
      <c r="A17" s="215"/>
      <c r="B17" s="216"/>
      <c r="C17" s="217"/>
      <c r="D17" s="216"/>
      <c r="E17" s="218"/>
      <c r="F17" s="219"/>
      <c r="G17" s="214"/>
    </row>
    <row r="18" spans="1:7" s="213" customFormat="1" ht="12.75" customHeight="1">
      <c r="A18" s="281"/>
      <c r="B18" s="281"/>
      <c r="C18" s="319" t="s">
        <v>3777</v>
      </c>
      <c r="D18" s="145"/>
      <c r="E18" s="145"/>
      <c r="F18" s="145"/>
      <c r="G18" s="214"/>
    </row>
    <row r="19" spans="1:7" s="213" customFormat="1" ht="12.75" customHeight="1">
      <c r="A19" s="281"/>
      <c r="B19" s="281"/>
      <c r="C19" s="145"/>
      <c r="D19" s="143"/>
      <c r="E19" s="143"/>
      <c r="F19" s="321"/>
      <c r="G19" s="214"/>
    </row>
    <row r="20" spans="1:7" s="213" customFormat="1" ht="12.75" customHeight="1">
      <c r="A20" s="222" t="s">
        <v>3758</v>
      </c>
      <c r="B20" s="281"/>
      <c r="C20" s="145" t="s">
        <v>3778</v>
      </c>
      <c r="D20" s="145"/>
      <c r="E20" s="145"/>
      <c r="F20" s="320">
        <v>1500</v>
      </c>
      <c r="G20" s="318"/>
    </row>
    <row r="21" spans="1:7" s="213" customFormat="1" ht="12.75" customHeight="1">
      <c r="A21" s="222"/>
      <c r="B21" s="281"/>
      <c r="C21" s="145"/>
      <c r="D21" s="211"/>
      <c r="E21" s="211"/>
      <c r="F21" s="322"/>
      <c r="G21" s="318"/>
    </row>
    <row r="22" spans="1:7" s="224" customFormat="1" ht="12.75" customHeight="1">
      <c r="A22" s="222"/>
      <c r="B22" s="281"/>
      <c r="C22" s="147"/>
      <c r="D22" s="147"/>
      <c r="E22" s="147"/>
      <c r="F22" s="322"/>
    </row>
    <row r="23" spans="1:7" s="224" customFormat="1" ht="12.75" customHeight="1">
      <c r="A23" s="222"/>
      <c r="B23" s="281"/>
      <c r="C23" s="95"/>
      <c r="D23" s="147"/>
      <c r="E23" s="147"/>
      <c r="F23" s="322"/>
    </row>
    <row r="24" spans="1:7" s="224" customFormat="1" ht="12.75" customHeight="1">
      <c r="A24" s="222"/>
      <c r="B24" s="281"/>
      <c r="C24" s="147"/>
      <c r="D24" s="147"/>
      <c r="E24" s="147"/>
      <c r="F24" s="322"/>
    </row>
    <row r="25" spans="1:7" s="224" customFormat="1" ht="12.75" customHeight="1">
      <c r="A25" s="222"/>
      <c r="B25" s="281"/>
      <c r="C25" s="147"/>
      <c r="D25" s="147"/>
      <c r="E25" s="147"/>
      <c r="F25" s="322"/>
    </row>
    <row r="26" spans="1:7" s="224" customFormat="1" ht="12.75" customHeight="1">
      <c r="A26" s="222"/>
      <c r="B26" s="281"/>
      <c r="C26" s="147"/>
      <c r="F26" s="322"/>
    </row>
    <row r="27" spans="1:7" s="227" customFormat="1" ht="12.75" customHeight="1">
      <c r="A27" s="281"/>
      <c r="B27" s="281"/>
      <c r="C27" s="147"/>
      <c r="D27" s="224"/>
      <c r="E27" s="224"/>
      <c r="F27" s="322"/>
    </row>
    <row r="28" spans="1:7" s="227" customFormat="1" ht="12.75" customHeight="1">
      <c r="C28" s="95"/>
      <c r="D28" s="224"/>
      <c r="E28" s="224"/>
      <c r="F28" s="322"/>
    </row>
    <row r="29" spans="1:7" s="227" customFormat="1" ht="12.75" customHeight="1">
      <c r="A29" s="281"/>
      <c r="B29" s="281"/>
      <c r="C29" s="147"/>
      <c r="D29" s="224"/>
      <c r="E29" s="224"/>
      <c r="F29" s="322"/>
    </row>
    <row r="30" spans="1:7" s="227" customFormat="1" ht="12.75" customHeight="1">
      <c r="A30" s="281"/>
      <c r="B30" s="281"/>
      <c r="C30" s="147"/>
      <c r="D30" s="224"/>
      <c r="E30" s="224"/>
      <c r="F30" s="322"/>
    </row>
    <row r="31" spans="1:7" s="227" customFormat="1" ht="12.75" customHeight="1">
      <c r="A31" s="281"/>
      <c r="B31" s="281"/>
      <c r="C31" s="147"/>
      <c r="D31" s="224"/>
      <c r="E31" s="224"/>
      <c r="F31" s="322"/>
    </row>
    <row r="32" spans="1:7" ht="12.75" customHeight="1">
      <c r="A32" s="222"/>
      <c r="B32" s="281"/>
      <c r="C32" s="147"/>
      <c r="F32" s="147"/>
    </row>
    <row r="33" spans="1:7" s="211" customFormat="1" ht="12.75" customHeight="1">
      <c r="A33" s="222"/>
      <c r="B33" s="281"/>
      <c r="C33" s="147"/>
      <c r="D33" s="147"/>
      <c r="E33" s="147"/>
      <c r="F33" s="147"/>
      <c r="G33" s="221"/>
    </row>
    <row r="34" spans="1:7" s="211" customFormat="1" ht="12.75" customHeight="1">
      <c r="A34" s="222"/>
      <c r="B34" s="281"/>
      <c r="C34" s="147"/>
      <c r="D34" s="147"/>
      <c r="E34" s="147"/>
      <c r="F34" s="147"/>
      <c r="G34" s="221"/>
    </row>
    <row r="35" spans="1:7" s="211" customFormat="1" ht="15.75" customHeight="1" thickBot="1">
      <c r="A35" s="229"/>
      <c r="B35" s="224"/>
      <c r="C35" s="224"/>
      <c r="D35" s="224"/>
      <c r="E35" s="224"/>
      <c r="F35" s="230">
        <f>SUM(F19:F33)</f>
        <v>1500</v>
      </c>
      <c r="G35" s="221"/>
    </row>
    <row r="36" spans="1:7" s="211" customFormat="1" ht="12.75" customHeight="1" thickTop="1">
      <c r="A36" s="229"/>
      <c r="B36" s="224"/>
      <c r="C36" s="224"/>
      <c r="D36" s="224"/>
      <c r="E36" s="224"/>
      <c r="F36" s="224"/>
      <c r="G36" s="221"/>
    </row>
    <row r="37" spans="1:7" ht="20.100000000000001" customHeight="1">
      <c r="A37" s="138" t="s">
        <v>1133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Five Hundred and NO/100 -----------</v>
      </c>
      <c r="C37" s="231"/>
      <c r="D37" s="231"/>
      <c r="E37" s="231"/>
      <c r="F37" s="231"/>
    </row>
    <row r="38" spans="1:7" ht="12.75" customHeight="1">
      <c r="A38" s="232"/>
    </row>
    <row r="39" spans="1:7" ht="27" customHeight="1">
      <c r="A39" s="131" t="s">
        <v>10</v>
      </c>
      <c r="B39" s="131"/>
      <c r="C39" s="131"/>
      <c r="D39" s="283" t="s">
        <v>2894</v>
      </c>
      <c r="E39" s="284"/>
      <c r="F39" s="285"/>
    </row>
    <row r="40" spans="1:7" ht="12.75" customHeight="1">
      <c r="A40" s="131"/>
      <c r="B40" s="131"/>
      <c r="C40" s="131"/>
      <c r="D40" s="131"/>
      <c r="E40" s="131"/>
      <c r="F40" s="131"/>
    </row>
    <row r="41" spans="1:7" ht="12.75" customHeight="1">
      <c r="A41" s="131"/>
      <c r="B41" s="131"/>
      <c r="C41" s="131"/>
      <c r="D41" s="131"/>
      <c r="E41" s="131"/>
      <c r="F41" s="131"/>
    </row>
    <row r="42" spans="1:7">
      <c r="A42" s="301"/>
      <c r="B42" s="131"/>
      <c r="C42" s="131"/>
      <c r="D42" s="291"/>
      <c r="E42" s="291"/>
      <c r="F42" s="291"/>
    </row>
    <row r="43" spans="1:7">
      <c r="A43" s="248"/>
      <c r="B43" s="142"/>
      <c r="C43" s="131"/>
      <c r="D43" s="286"/>
      <c r="E43" s="287"/>
      <c r="F43" s="287"/>
    </row>
    <row r="44" spans="1:7" ht="12.75" customHeight="1">
      <c r="A44" s="301"/>
      <c r="B44" s="301"/>
      <c r="C44" s="131"/>
      <c r="D44" s="131"/>
      <c r="E44" s="131"/>
      <c r="F44" s="144"/>
    </row>
    <row r="45" spans="1:7" ht="12.75" customHeight="1">
      <c r="A45" s="301"/>
      <c r="B45" s="301"/>
      <c r="C45" s="131"/>
      <c r="D45" s="131"/>
      <c r="E45" s="131"/>
      <c r="F45" s="144"/>
    </row>
    <row r="46" spans="1:7" ht="12.75" customHeight="1">
      <c r="A46" s="143" t="s">
        <v>8</v>
      </c>
      <c r="B46" s="131"/>
      <c r="C46" s="131"/>
      <c r="D46" s="131"/>
      <c r="E46" s="131"/>
      <c r="F46" s="131"/>
    </row>
    <row r="47" spans="1:7" ht="12.75" customHeight="1">
      <c r="A47" s="301"/>
      <c r="B47" s="131"/>
      <c r="C47" s="131"/>
      <c r="D47" s="143" t="s">
        <v>7</v>
      </c>
      <c r="E47" s="131"/>
      <c r="F47" s="131"/>
    </row>
    <row r="48" spans="1:7" ht="12.75" customHeight="1">
      <c r="A48" s="143"/>
      <c r="B48" s="131"/>
      <c r="C48" s="131"/>
      <c r="D48" s="131"/>
      <c r="E48" s="131"/>
      <c r="F48" s="131"/>
    </row>
    <row r="49" spans="1:6" ht="12.75" customHeight="1">
      <c r="A49" s="143"/>
      <c r="B49" s="131"/>
      <c r="C49" s="131"/>
      <c r="D49" s="131"/>
      <c r="E49" s="131"/>
      <c r="F49" s="131"/>
    </row>
    <row r="50" spans="1:6" s="211" customFormat="1" ht="12.75" customHeight="1">
      <c r="A50" s="143"/>
      <c r="B50" s="131"/>
      <c r="C50" s="131"/>
      <c r="D50" s="131"/>
      <c r="E50" s="147"/>
      <c r="F50" s="147"/>
    </row>
    <row r="51" spans="1:6" ht="12.75" customHeight="1">
      <c r="A51" s="248"/>
      <c r="B51" s="142"/>
      <c r="C51" s="131"/>
      <c r="D51" s="142"/>
      <c r="E51" s="142"/>
      <c r="F51" s="142"/>
    </row>
    <row r="52" spans="1:6" ht="15" customHeight="1">
      <c r="A52" s="143" t="s">
        <v>2948</v>
      </c>
      <c r="B52" s="146"/>
      <c r="C52" s="147"/>
      <c r="D52" s="147" t="s">
        <v>3</v>
      </c>
      <c r="E52" s="131"/>
      <c r="F52" s="131"/>
    </row>
    <row r="53" spans="1:6" ht="12.75" customHeight="1">
      <c r="A53" s="143"/>
      <c r="B53" s="131"/>
      <c r="C53" s="131"/>
      <c r="D53" s="131" t="s">
        <v>2</v>
      </c>
      <c r="E53" s="131"/>
      <c r="F53" s="131"/>
    </row>
    <row r="54" spans="1:6" ht="12.75" customHeight="1">
      <c r="A54" s="131"/>
      <c r="B54" s="131"/>
      <c r="C54" s="131"/>
      <c r="D54" s="131"/>
      <c r="E54" s="131"/>
      <c r="F54" s="131"/>
    </row>
    <row r="55" spans="1:6" ht="12.75" customHeight="1">
      <c r="A55" s="131"/>
      <c r="B55" s="131"/>
      <c r="C55" s="131"/>
      <c r="D55" s="110" t="s">
        <v>1</v>
      </c>
      <c r="E55" s="131"/>
      <c r="F55" s="131"/>
    </row>
    <row r="56" spans="1:6" ht="12.75" customHeight="1">
      <c r="A56" s="131"/>
      <c r="B56" s="131"/>
      <c r="C56" s="131"/>
      <c r="D56" s="110" t="s">
        <v>0</v>
      </c>
      <c r="E56" s="131"/>
      <c r="F56" s="131"/>
    </row>
    <row r="57" spans="1:6" ht="12.75" customHeight="1">
      <c r="A57" s="131"/>
      <c r="B57" s="131"/>
      <c r="C57" s="131"/>
      <c r="D57" s="131"/>
      <c r="E57" s="131"/>
      <c r="F57" s="131"/>
    </row>
    <row r="58" spans="1:6" ht="12.75" customHeight="1">
      <c r="A58" s="131"/>
      <c r="B58" s="131"/>
      <c r="C58" s="131"/>
      <c r="D58" s="131"/>
      <c r="E58" s="131"/>
      <c r="F58" s="131"/>
    </row>
    <row r="59" spans="1:6">
      <c r="A59" s="131"/>
      <c r="B59" s="131"/>
      <c r="C59" s="131"/>
      <c r="D59" s="131"/>
      <c r="E59" s="131"/>
      <c r="F59" s="131"/>
    </row>
    <row r="60" spans="1:6">
      <c r="A60" s="131"/>
      <c r="B60" s="131"/>
      <c r="C60" s="131"/>
      <c r="D60" s="131"/>
      <c r="E60" s="131"/>
      <c r="F60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5" orientation="portrait" r:id="rId1"/>
  <headerFooter alignWithMargins="0"/>
</worksheet>
</file>

<file path=xl/worksheets/sheet5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4C309-4501-4B69-AA62-C65CAE00596C}">
  <sheetPr codeName="Sheet47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2.140625" style="111" customWidth="1"/>
    <col min="3" max="3" width="0.5703125" style="111" customWidth="1"/>
    <col min="4" max="4" width="23" style="111" customWidth="1"/>
    <col min="5" max="5" width="1" style="111" customWidth="1"/>
    <col min="6" max="6" width="13.5703125" style="111" customWidth="1"/>
    <col min="7" max="7" width="9.5703125" style="111" customWidth="1"/>
    <col min="8" max="8" width="13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A9" s="111" t="s">
        <v>5035</v>
      </c>
      <c r="F9" s="112" t="s">
        <v>1090</v>
      </c>
      <c r="G9" s="489" t="s">
        <v>6380</v>
      </c>
    </row>
    <row r="10" spans="1:8">
      <c r="A10" s="111" t="s">
        <v>5036</v>
      </c>
      <c r="F10" s="112" t="s">
        <v>1340</v>
      </c>
      <c r="G10" s="132" t="s">
        <v>6310</v>
      </c>
    </row>
    <row r="11" spans="1:8">
      <c r="A11" s="111" t="s">
        <v>5037</v>
      </c>
      <c r="F11" s="112" t="s">
        <v>1341</v>
      </c>
      <c r="G11" s="132" t="s">
        <v>1094</v>
      </c>
    </row>
    <row r="12" spans="1:8">
      <c r="A12" s="111" t="s">
        <v>5038</v>
      </c>
      <c r="F12" s="112" t="s">
        <v>1135</v>
      </c>
      <c r="G12" s="120" t="s">
        <v>1270</v>
      </c>
    </row>
    <row r="13" spans="1:8">
      <c r="A13" s="111" t="s">
        <v>5039</v>
      </c>
    </row>
    <row r="16" spans="1:8" s="15" customFormat="1" ht="20.100000000000001" customHeight="1">
      <c r="A16" s="18" t="s">
        <v>1113</v>
      </c>
      <c r="B16" s="129" t="s">
        <v>1114</v>
      </c>
      <c r="C16" s="129"/>
      <c r="D16" s="533" t="s">
        <v>14</v>
      </c>
      <c r="E16" s="533"/>
      <c r="F16" s="533"/>
      <c r="G16" s="17"/>
      <c r="H16" s="16" t="s">
        <v>13</v>
      </c>
    </row>
    <row r="18" spans="1:8">
      <c r="A18" s="116"/>
      <c r="B18" s="116"/>
      <c r="C18" s="116"/>
      <c r="D18" s="2" t="s">
        <v>6381</v>
      </c>
      <c r="E18" s="2"/>
    </row>
    <row r="20" spans="1:8">
      <c r="A20" s="485" t="s">
        <v>11</v>
      </c>
      <c r="B20" s="121"/>
      <c r="C20" s="121"/>
      <c r="D20" s="111" t="s">
        <v>6382</v>
      </c>
      <c r="H20" s="111">
        <f>900000*0.038255</f>
        <v>34429.5</v>
      </c>
    </row>
    <row r="21" spans="1:8">
      <c r="A21" s="116"/>
      <c r="B21" s="116"/>
      <c r="C21" s="121"/>
      <c r="D21" s="111" t="s">
        <v>6383</v>
      </c>
    </row>
    <row r="22" spans="1:8">
      <c r="A22" s="116"/>
      <c r="B22" s="116"/>
      <c r="C22" s="116"/>
      <c r="E22" s="2"/>
    </row>
    <row r="23" spans="1:8">
      <c r="D23" s="111" t="s">
        <v>2831</v>
      </c>
      <c r="H23" s="111">
        <v>30</v>
      </c>
    </row>
    <row r="24" spans="1:8">
      <c r="A24" s="116"/>
      <c r="B24" s="121"/>
      <c r="C24" s="121"/>
    </row>
    <row r="25" spans="1:8">
      <c r="A25" s="116"/>
      <c r="B25" s="116"/>
      <c r="C25" s="121"/>
    </row>
    <row r="26" spans="1:8">
      <c r="A26" s="116"/>
      <c r="B26" s="121"/>
      <c r="C26" s="121"/>
    </row>
    <row r="35" spans="1:8" ht="13.5" thickBot="1">
      <c r="H35" s="117">
        <f>SUM(H18:H34)</f>
        <v>34459.5</v>
      </c>
    </row>
    <row r="36" spans="1:8" ht="13.5" thickTop="1"/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Thirty-Four Thousand Four Hundred Fifty-Nine and 50/100 -----------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11" t="s">
        <v>10</v>
      </c>
      <c r="F39" s="265" t="s">
        <v>2894</v>
      </c>
      <c r="G39" s="266" t="s">
        <v>3298</v>
      </c>
      <c r="H39" s="267"/>
    </row>
    <row r="41" spans="1:8">
      <c r="A41" s="126"/>
    </row>
    <row r="42" spans="1:8">
      <c r="D42" s="121"/>
      <c r="E42" s="121"/>
    </row>
    <row r="43" spans="1:8">
      <c r="A43" s="122"/>
      <c r="B43" s="122"/>
    </row>
    <row r="45" spans="1:8">
      <c r="A45" s="123" t="s">
        <v>8</v>
      </c>
      <c r="D45" s="123" t="s">
        <v>8</v>
      </c>
      <c r="F45" s="123" t="s">
        <v>7</v>
      </c>
      <c r="H45" s="124"/>
    </row>
    <row r="49" spans="1:8">
      <c r="A49" s="122"/>
      <c r="B49" s="122"/>
      <c r="D49" s="122"/>
      <c r="F49" s="122"/>
      <c r="G49" s="122"/>
      <c r="H49" s="122"/>
    </row>
    <row r="50" spans="1:8" s="126" customFormat="1" ht="17.100000000000001" customHeight="1">
      <c r="A50" s="111" t="s">
        <v>2948</v>
      </c>
      <c r="B50" s="125"/>
      <c r="C50" s="125"/>
      <c r="D50" s="111" t="s">
        <v>103</v>
      </c>
      <c r="F50" s="126" t="s">
        <v>3</v>
      </c>
    </row>
    <row r="51" spans="1:8">
      <c r="F51" s="111" t="s">
        <v>2</v>
      </c>
    </row>
    <row r="52" spans="1:8">
      <c r="A52" s="151"/>
    </row>
    <row r="53" spans="1:8">
      <c r="F53" s="2" t="s">
        <v>1</v>
      </c>
    </row>
    <row r="54" spans="1:8">
      <c r="F54" s="2" t="s">
        <v>0</v>
      </c>
    </row>
  </sheetData>
  <mergeCells count="5">
    <mergeCell ref="A1:H1"/>
    <mergeCell ref="A2:H2"/>
    <mergeCell ref="A3:H3"/>
    <mergeCell ref="A4:H4"/>
    <mergeCell ref="D16:F16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04E4B-330A-46FD-86E1-F64CD6CE2BEB}">
  <sheetPr codeName="Sheet549"/>
  <dimension ref="A1:J57"/>
  <sheetViews>
    <sheetView workbookViewId="0">
      <selection activeCell="G9" sqref="G9:G13"/>
    </sheetView>
  </sheetViews>
  <sheetFormatPr defaultRowHeight="12.75"/>
  <cols>
    <col min="1" max="1" width="15" style="1" customWidth="1"/>
    <col min="2" max="2" width="13" style="1" customWidth="1"/>
    <col min="3" max="3" width="1.140625" style="1" customWidth="1"/>
    <col min="4" max="4" width="20.85546875" style="1" customWidth="1"/>
    <col min="5" max="5" width="1.85546875" style="1" customWidth="1"/>
    <col min="6" max="6" width="16.42578125" style="1" customWidth="1"/>
    <col min="7" max="7" width="15.140625" style="1" customWidth="1"/>
    <col min="8" max="8" width="9.140625" style="1"/>
    <col min="9" max="9" width="9.7109375" style="1" bestFit="1" customWidth="1"/>
    <col min="10" max="10" width="10.28515625" style="435" bestFit="1" customWidth="1"/>
    <col min="11" max="11" width="9.140625" style="1"/>
    <col min="12" max="12" width="9.7109375" style="1" bestFit="1" customWidth="1"/>
    <col min="13" max="16384" width="9.140625" style="1"/>
  </cols>
  <sheetData>
    <row r="1" spans="1:10" ht="15">
      <c r="A1" s="528" t="s">
        <v>26</v>
      </c>
      <c r="B1" s="528"/>
      <c r="C1" s="528"/>
      <c r="D1" s="528"/>
      <c r="E1" s="528"/>
      <c r="F1" s="528"/>
      <c r="G1" s="528"/>
    </row>
    <row r="2" spans="1:10">
      <c r="A2" s="530" t="s">
        <v>25</v>
      </c>
      <c r="B2" s="530"/>
      <c r="C2" s="530"/>
      <c r="D2" s="530"/>
      <c r="E2" s="530"/>
      <c r="F2" s="530"/>
      <c r="G2" s="530"/>
    </row>
    <row r="3" spans="1:10">
      <c r="A3" s="530" t="s">
        <v>1480</v>
      </c>
      <c r="B3" s="530"/>
      <c r="C3" s="530"/>
      <c r="D3" s="530"/>
      <c r="E3" s="530"/>
      <c r="F3" s="530"/>
      <c r="G3" s="530"/>
    </row>
    <row r="4" spans="1:10">
      <c r="A4" s="530" t="s">
        <v>1684</v>
      </c>
      <c r="B4" s="530"/>
      <c r="C4" s="530"/>
      <c r="D4" s="530"/>
      <c r="E4" s="530"/>
      <c r="F4" s="530"/>
      <c r="G4" s="530"/>
    </row>
    <row r="7" spans="1:10" s="111" customFormat="1">
      <c r="J7" s="436"/>
    </row>
    <row r="8" spans="1:10" s="111" customFormat="1">
      <c r="A8" s="111" t="s">
        <v>24</v>
      </c>
      <c r="F8" s="22" t="s">
        <v>23</v>
      </c>
      <c r="J8" s="436"/>
    </row>
    <row r="9" spans="1:10" s="111" customFormat="1">
      <c r="F9" s="112" t="s">
        <v>5604</v>
      </c>
      <c r="G9" s="111" t="s">
        <v>5619</v>
      </c>
      <c r="J9" s="436"/>
    </row>
    <row r="10" spans="1:10" s="111" customFormat="1">
      <c r="A10" s="111" t="s">
        <v>5620</v>
      </c>
      <c r="F10" s="112" t="s">
        <v>5605</v>
      </c>
      <c r="G10" s="111" t="s">
        <v>5606</v>
      </c>
      <c r="J10" s="436"/>
    </row>
    <row r="11" spans="1:10" s="111" customFormat="1">
      <c r="A11" s="111" t="s">
        <v>5621</v>
      </c>
      <c r="F11" s="112" t="s">
        <v>5607</v>
      </c>
      <c r="G11" s="111" t="s">
        <v>1094</v>
      </c>
      <c r="J11" s="436"/>
    </row>
    <row r="12" spans="1:10" s="111" customFormat="1">
      <c r="A12" s="111" t="s">
        <v>5622</v>
      </c>
      <c r="F12" s="112" t="s">
        <v>2136</v>
      </c>
      <c r="G12" s="111" t="s">
        <v>1270</v>
      </c>
      <c r="J12" s="436"/>
    </row>
    <row r="13" spans="1:10" s="111" customFormat="1">
      <c r="A13" s="111" t="s">
        <v>5623</v>
      </c>
      <c r="J13" s="436"/>
    </row>
    <row r="14" spans="1:10" s="111" customFormat="1">
      <c r="J14" s="436"/>
    </row>
    <row r="15" spans="1:10" s="111" customFormat="1">
      <c r="J15" s="436"/>
    </row>
    <row r="16" spans="1:10" s="15" customFormat="1" ht="20.100000000000001" customHeight="1">
      <c r="A16" s="18" t="s">
        <v>1122</v>
      </c>
      <c r="B16" s="129" t="s">
        <v>1132</v>
      </c>
      <c r="C16" s="129"/>
      <c r="D16" s="19" t="s">
        <v>14</v>
      </c>
      <c r="E16" s="19"/>
      <c r="F16" s="18"/>
      <c r="G16" s="16" t="s">
        <v>13</v>
      </c>
      <c r="J16" s="437"/>
    </row>
    <row r="17" spans="1:10" s="111" customFormat="1">
      <c r="J17" s="436"/>
    </row>
    <row r="18" spans="1:10" s="111" customFormat="1">
      <c r="A18" s="116"/>
      <c r="B18" s="121"/>
      <c r="C18" s="121"/>
      <c r="D18" s="2" t="s">
        <v>5608</v>
      </c>
      <c r="J18" s="436"/>
    </row>
    <row r="19" spans="1:10" s="111" customFormat="1">
      <c r="J19" s="436"/>
    </row>
    <row r="20" spans="1:10" s="111" customFormat="1">
      <c r="A20" s="116" t="s">
        <v>5614</v>
      </c>
      <c r="B20" s="116"/>
      <c r="C20" s="116"/>
      <c r="D20" s="111" t="s">
        <v>5624</v>
      </c>
      <c r="G20" s="111">
        <f>446.617*4.1213</f>
        <v>1840.6426420999999</v>
      </c>
      <c r="J20" s="436"/>
    </row>
    <row r="21" spans="1:10" s="111" customFormat="1">
      <c r="D21" s="111" t="s">
        <v>5625</v>
      </c>
      <c r="G21" s="111">
        <f>713.02*4.1213</f>
        <v>2938.5693259999998</v>
      </c>
      <c r="J21" s="436"/>
    </row>
    <row r="22" spans="1:10" s="111" customFormat="1">
      <c r="A22" s="116"/>
      <c r="B22" s="116"/>
      <c r="C22" s="116"/>
      <c r="D22" s="111" t="s">
        <v>5626</v>
      </c>
      <c r="G22" s="111">
        <f>215.47*4.1213</f>
        <v>888.01651099999992</v>
      </c>
      <c r="J22" s="436"/>
    </row>
    <row r="23" spans="1:10" s="111" customFormat="1">
      <c r="D23" s="111" t="s">
        <v>5627</v>
      </c>
      <c r="G23" s="111">
        <f>6268.306*4.1213</f>
        <v>25833.569517799995</v>
      </c>
      <c r="J23" s="436"/>
    </row>
    <row r="24" spans="1:10" s="111" customFormat="1">
      <c r="A24" s="116"/>
      <c r="B24" s="116"/>
      <c r="C24" s="116"/>
      <c r="D24" s="111" t="s">
        <v>5628</v>
      </c>
      <c r="G24" s="111">
        <f>445.637*4.1213</f>
        <v>1836.6037680999998</v>
      </c>
      <c r="J24" s="436"/>
    </row>
    <row r="25" spans="1:10" s="111" customFormat="1">
      <c r="D25" s="111" t="s">
        <v>5629</v>
      </c>
      <c r="G25" s="111">
        <f>808.91*4.1213</f>
        <v>3333.7607829999997</v>
      </c>
      <c r="J25" s="436"/>
    </row>
    <row r="26" spans="1:10" s="111" customFormat="1">
      <c r="J26" s="436"/>
    </row>
    <row r="27" spans="1:10" s="111" customFormat="1">
      <c r="D27" s="111" t="s">
        <v>1697</v>
      </c>
      <c r="G27" s="111">
        <v>30</v>
      </c>
      <c r="J27" s="436"/>
    </row>
    <row r="28" spans="1:10" s="111" customFormat="1">
      <c r="J28" s="436"/>
    </row>
    <row r="29" spans="1:10" s="111" customFormat="1">
      <c r="B29" s="120"/>
      <c r="C29" s="120"/>
      <c r="D29" s="111" t="s">
        <v>5661</v>
      </c>
      <c r="J29" s="436"/>
    </row>
    <row r="30" spans="1:10" s="111" customFormat="1">
      <c r="B30" s="120"/>
      <c r="C30" s="120"/>
      <c r="J30" s="436"/>
    </row>
    <row r="31" spans="1:10" s="111" customFormat="1">
      <c r="B31" s="120"/>
      <c r="C31" s="120"/>
      <c r="J31" s="436"/>
    </row>
    <row r="32" spans="1:10" s="111" customFormat="1">
      <c r="J32" s="436"/>
    </row>
    <row r="33" spans="1:10" s="111" customFormat="1">
      <c r="J33" s="436"/>
    </row>
    <row r="34" spans="1:10" s="111" customFormat="1">
      <c r="J34" s="436"/>
    </row>
    <row r="35" spans="1:10" s="111" customFormat="1" ht="13.5" thickBot="1">
      <c r="G35" s="127">
        <f>SUM(G18:G33)</f>
        <v>36701.162547999993</v>
      </c>
      <c r="J35" s="436"/>
    </row>
    <row r="36" spans="1:10" s="111" customFormat="1" ht="13.5" thickTop="1">
      <c r="G36" s="122"/>
      <c r="J36" s="436"/>
    </row>
    <row r="37" spans="1:10" s="111" customFormat="1" ht="20.100000000000001" customHeight="1">
      <c r="A37" s="118" t="s">
        <v>204</v>
      </c>
      <c r="B37" s="202" t="str">
        <f>IF(OR(G35&gt;1000000,G35&lt;=0),"",IF(G35&lt;1000,"",IF(MOD(G35,1000000)&gt;=100000,INDEX(numbers,TRUNC(MOD(G35,1000000)/100000,0)+1)&amp;" Hundred","")&amp;IF(MOD(G35,100000)&gt;=20000," "&amp;INDEX(tens,TRUNC(MOD(G35,100000)/10000,0)+1)&amp;IF(MOD(MOD(G35,100000),10000)&gt;=1000,"-"&amp;INDEX(numbers,TRUNC(MOD(MOD(G35,100000),10000)/1000,0)+1),""),IF(MOD(G35,100000)&gt;=1000," "&amp;INDEX(numbers,TRUNC(MOD(G35,100000)/1000,0)+1),""))&amp;" Thousand") &amp; IF(G35&lt;1,"Zero Dollars",IF(MOD(G35,1000)&gt;=100," "&amp;INDEX(numbers,TRUNC(MOD(G35,1000)/100,0)+1)&amp;" Hundred","")&amp;IF(MOD(G35,100)&gt;=20," "&amp;INDEX(tens,TRUNC(MOD(G35,100)/10,0)+1)&amp;IF(MOD(MOD(G35,100),10)&gt;=1,"-"&amp;INDEX(numbers,TRUNC(MOD(MOD(G35,100),10),0)+1),""),IF(MOD(G35,100)&gt;=1," "&amp;INDEX(numbers,TRUNC(MOD(G35,100),0)+1),""))&amp;"") &amp; " and " &amp; IF(MOD(G35,1)&lt;0.005,"NO",ROUND(MOD(G35,1)*100,0)) &amp; "/100 -----------")</f>
        <v xml:space="preserve"> Thirty-Six Thousand Seven Hundred One and 16/100 -----------</v>
      </c>
      <c r="C37" s="202"/>
      <c r="D37" s="119"/>
      <c r="E37" s="119"/>
      <c r="F37" s="119"/>
      <c r="G37" s="270"/>
      <c r="J37" s="436"/>
    </row>
    <row r="38" spans="1:10" s="111" customFormat="1">
      <c r="A38" s="120" t="s">
        <v>11</v>
      </c>
      <c r="J38" s="436"/>
    </row>
    <row r="39" spans="1:10" s="111" customFormat="1" ht="25.5">
      <c r="A39" s="111" t="s">
        <v>10</v>
      </c>
      <c r="F39" s="265" t="s">
        <v>2894</v>
      </c>
      <c r="G39" s="267"/>
      <c r="J39" s="436"/>
    </row>
    <row r="40" spans="1:10" s="111" customFormat="1">
      <c r="B40" s="433"/>
      <c r="C40" s="433"/>
      <c r="J40" s="436"/>
    </row>
    <row r="41" spans="1:10" s="111" customFormat="1">
      <c r="B41" s="433"/>
      <c r="C41" s="433"/>
      <c r="F41" s="309"/>
      <c r="G41" s="309"/>
      <c r="J41" s="436"/>
    </row>
    <row r="42" spans="1:10" s="111" customFormat="1">
      <c r="B42" s="433"/>
      <c r="C42" s="433"/>
      <c r="F42" s="310"/>
      <c r="G42" s="311"/>
      <c r="J42" s="436"/>
    </row>
    <row r="43" spans="1:10" s="111" customFormat="1">
      <c r="A43" s="122"/>
      <c r="B43" s="122"/>
      <c r="C43" s="433"/>
      <c r="J43" s="436"/>
    </row>
    <row r="44" spans="1:10" s="111" customFormat="1">
      <c r="B44" s="433"/>
      <c r="C44" s="433"/>
      <c r="J44" s="436"/>
    </row>
    <row r="45" spans="1:10" s="111" customFormat="1">
      <c r="A45" s="123" t="s">
        <v>8</v>
      </c>
      <c r="B45" s="123"/>
      <c r="C45" s="433"/>
      <c r="D45" s="123" t="s">
        <v>8</v>
      </c>
      <c r="F45" s="123" t="s">
        <v>7</v>
      </c>
      <c r="G45" s="124"/>
      <c r="J45" s="436"/>
    </row>
    <row r="46" spans="1:10" s="111" customFormat="1">
      <c r="C46" s="433"/>
      <c r="J46" s="436"/>
    </row>
    <row r="47" spans="1:10" s="111" customFormat="1">
      <c r="C47" s="433"/>
      <c r="J47" s="436"/>
    </row>
    <row r="48" spans="1:10" s="111" customFormat="1">
      <c r="C48" s="433"/>
      <c r="J48" s="436"/>
    </row>
    <row r="49" spans="1:10" s="111" customFormat="1">
      <c r="A49" s="122"/>
      <c r="B49" s="122"/>
      <c r="C49" s="433"/>
      <c r="D49" s="122"/>
      <c r="F49" s="122"/>
      <c r="G49" s="122"/>
      <c r="J49" s="436"/>
    </row>
    <row r="50" spans="1:10" s="126" customFormat="1" ht="17.100000000000001" customHeight="1">
      <c r="A50" s="151" t="s">
        <v>3441</v>
      </c>
      <c r="B50" s="151"/>
      <c r="C50" s="434"/>
      <c r="D50" s="151" t="s">
        <v>103</v>
      </c>
      <c r="F50" s="126" t="s">
        <v>3</v>
      </c>
      <c r="J50" s="438"/>
    </row>
    <row r="51" spans="1:10" s="111" customFormat="1">
      <c r="B51" s="433"/>
      <c r="C51" s="433"/>
      <c r="F51" s="111" t="s">
        <v>2</v>
      </c>
      <c r="J51" s="436"/>
    </row>
    <row r="52" spans="1:10" s="111" customFormat="1">
      <c r="B52" s="433"/>
      <c r="C52" s="433"/>
      <c r="J52" s="436"/>
    </row>
    <row r="53" spans="1:10" s="111" customFormat="1">
      <c r="B53" s="433"/>
      <c r="C53" s="433"/>
      <c r="F53" s="2" t="s">
        <v>1</v>
      </c>
      <c r="J53" s="436"/>
    </row>
    <row r="54" spans="1:10" s="111" customFormat="1">
      <c r="F54" s="2" t="s">
        <v>0</v>
      </c>
      <c r="J54" s="436"/>
    </row>
    <row r="55" spans="1:10" s="111" customFormat="1">
      <c r="J55" s="436"/>
    </row>
    <row r="56" spans="1:10" s="111" customFormat="1">
      <c r="J56" s="436"/>
    </row>
    <row r="57" spans="1:10" s="111" customFormat="1">
      <c r="J57" s="436"/>
    </row>
  </sheetData>
  <mergeCells count="4">
    <mergeCell ref="A1:G1"/>
    <mergeCell ref="A2:G2"/>
    <mergeCell ref="A3:G3"/>
    <mergeCell ref="A4:G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A61C-2174-4BAF-BF4B-4D393D1596E0}">
  <sheetPr codeName="Sheet568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4.42578125" style="111" customWidth="1"/>
    <col min="3" max="3" width="0.85546875" style="111" customWidth="1"/>
    <col min="4" max="4" width="22.42578125" style="111" customWidth="1"/>
    <col min="5" max="5" width="1.5703125" style="111" customWidth="1"/>
    <col min="6" max="6" width="13.140625" style="111" customWidth="1"/>
    <col min="7" max="7" width="8.28515625" style="111" customWidth="1"/>
    <col min="8" max="8" width="13.710937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11" t="s">
        <v>5852</v>
      </c>
    </row>
    <row r="10" spans="1:8">
      <c r="A10" s="111" t="s">
        <v>5854</v>
      </c>
      <c r="F10" s="112" t="s">
        <v>1180</v>
      </c>
      <c r="G10" s="123" t="s">
        <v>5848</v>
      </c>
    </row>
    <row r="11" spans="1:8">
      <c r="A11" s="111" t="s">
        <v>5855</v>
      </c>
      <c r="F11" s="112" t="s">
        <v>1181</v>
      </c>
      <c r="G11" s="112" t="s">
        <v>1094</v>
      </c>
    </row>
    <row r="12" spans="1:8">
      <c r="A12" s="111" t="s">
        <v>2955</v>
      </c>
      <c r="F12" s="112" t="s">
        <v>1182</v>
      </c>
      <c r="G12" s="120" t="s">
        <v>5853</v>
      </c>
    </row>
    <row r="13" spans="1:8">
      <c r="A13" s="111" t="s">
        <v>5856</v>
      </c>
      <c r="G13" s="111" t="s">
        <v>5849</v>
      </c>
    </row>
    <row r="16" spans="1:8" s="15" customFormat="1" ht="20.100000000000001" customHeight="1">
      <c r="A16" s="18" t="s">
        <v>1193</v>
      </c>
      <c r="B16" s="456" t="s">
        <v>1098</v>
      </c>
      <c r="C16" s="456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5857</v>
      </c>
      <c r="E18" s="2"/>
      <c r="H18" s="149"/>
    </row>
    <row r="19" spans="1:8">
      <c r="D19" s="2"/>
      <c r="E19" s="2"/>
    </row>
    <row r="20" spans="1:8">
      <c r="A20" s="161" t="s">
        <v>5846</v>
      </c>
      <c r="B20" s="241" t="s">
        <v>5858</v>
      </c>
      <c r="C20" s="335"/>
      <c r="D20" s="111" t="s">
        <v>5860</v>
      </c>
      <c r="H20" s="149">
        <v>1000</v>
      </c>
    </row>
    <row r="21" spans="1:8">
      <c r="A21" s="161"/>
      <c r="B21" s="241"/>
      <c r="C21" s="335"/>
      <c r="D21" s="111" t="s">
        <v>5859</v>
      </c>
      <c r="H21" s="149"/>
    </row>
    <row r="22" spans="1:8">
      <c r="A22" s="161"/>
      <c r="B22" s="155"/>
      <c r="C22" s="157"/>
    </row>
    <row r="23" spans="1:8">
      <c r="E23" s="2"/>
    </row>
    <row r="24" spans="1:8">
      <c r="D24" s="2"/>
      <c r="E24" s="2"/>
    </row>
    <row r="25" spans="1:8">
      <c r="A25" s="116"/>
      <c r="B25" s="116"/>
      <c r="C25" s="116"/>
    </row>
    <row r="26" spans="1:8">
      <c r="A26" s="161"/>
      <c r="B26" s="116"/>
      <c r="C26" s="116"/>
    </row>
    <row r="27" spans="1:8">
      <c r="A27" s="161"/>
      <c r="B27" s="116"/>
      <c r="C27" s="116"/>
      <c r="E27" s="2"/>
    </row>
    <row r="29" spans="1:8">
      <c r="A29" s="116"/>
      <c r="B29" s="116"/>
      <c r="C29" s="116"/>
    </row>
    <row r="30" spans="1:8">
      <c r="A30" s="148"/>
    </row>
    <row r="33" spans="1:8">
      <c r="D33" s="120"/>
      <c r="E33" s="120"/>
    </row>
    <row r="35" spans="1:8" ht="13.5" thickBot="1">
      <c r="H35" s="127">
        <f>SUM(H20:H34)</f>
        <v>1000</v>
      </c>
    </row>
    <row r="36" spans="1:8" ht="13.5" thickTop="1"/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23" t="s">
        <v>10</v>
      </c>
      <c r="F39" s="265" t="s">
        <v>2894</v>
      </c>
      <c r="G39" s="266"/>
      <c r="H39" s="267"/>
    </row>
    <row r="41" spans="1:8">
      <c r="A41" s="126"/>
    </row>
    <row r="42" spans="1:8">
      <c r="A42" s="111" t="s">
        <v>52</v>
      </c>
      <c r="D42" s="121"/>
      <c r="E42" s="121"/>
    </row>
    <row r="43" spans="1:8">
      <c r="A43" s="122"/>
      <c r="B43" s="122"/>
    </row>
    <row r="45" spans="1:8">
      <c r="A45" s="123" t="s">
        <v>8</v>
      </c>
      <c r="D45" s="123" t="s">
        <v>8</v>
      </c>
      <c r="F45" s="123" t="s">
        <v>7</v>
      </c>
      <c r="H45" s="124"/>
    </row>
    <row r="49" spans="1:8">
      <c r="A49" s="277"/>
      <c r="B49" s="122"/>
      <c r="D49" s="277"/>
      <c r="F49" s="122"/>
      <c r="G49" s="122"/>
      <c r="H49" s="122"/>
    </row>
    <row r="50" spans="1:8" s="126" customFormat="1" ht="17.100000000000001" customHeight="1">
      <c r="A50" s="111" t="s">
        <v>2948</v>
      </c>
      <c r="B50" s="125"/>
      <c r="C50" s="125"/>
      <c r="D50" s="111" t="s">
        <v>103</v>
      </c>
      <c r="F50" s="126" t="s">
        <v>3</v>
      </c>
    </row>
    <row r="51" spans="1:8">
      <c r="F51" s="111" t="s">
        <v>2</v>
      </c>
    </row>
    <row r="53" spans="1:8">
      <c r="F53" s="2" t="s">
        <v>1</v>
      </c>
    </row>
    <row r="54" spans="1:8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5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799D1-637B-4F4A-9BA1-5FFE3CCACD08}">
  <sheetPr codeName="Sheet569"/>
  <dimension ref="A1:I54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1" style="1" customWidth="1"/>
    <col min="4" max="4" width="23" style="1" customWidth="1"/>
    <col min="5" max="5" width="0.5703125" style="1" customWidth="1"/>
    <col min="6" max="6" width="13.71093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11" t="s">
        <v>6535</v>
      </c>
      <c r="H9" s="111"/>
    </row>
    <row r="10" spans="1:8">
      <c r="A10" s="111" t="s">
        <v>5875</v>
      </c>
      <c r="B10" s="111"/>
      <c r="C10" s="111"/>
      <c r="D10" s="111"/>
      <c r="E10" s="111"/>
      <c r="F10" s="112" t="s">
        <v>1162</v>
      </c>
      <c r="G10" s="123" t="s">
        <v>6537</v>
      </c>
      <c r="H10" s="111"/>
    </row>
    <row r="11" spans="1:8">
      <c r="A11" s="111" t="s">
        <v>5876</v>
      </c>
      <c r="B11" s="111"/>
      <c r="C11" s="111"/>
      <c r="D11" s="111"/>
      <c r="E11" s="111"/>
      <c r="F11" s="112" t="s">
        <v>1163</v>
      </c>
      <c r="G11" s="112" t="s">
        <v>1094</v>
      </c>
      <c r="H11" s="111"/>
    </row>
    <row r="12" spans="1:8">
      <c r="A12" s="111" t="s">
        <v>5877</v>
      </c>
      <c r="B12" s="111"/>
      <c r="C12" s="111"/>
      <c r="D12" s="111"/>
      <c r="E12" s="111"/>
      <c r="F12" s="112" t="s">
        <v>1096</v>
      </c>
      <c r="G12" s="120" t="s">
        <v>6536</v>
      </c>
      <c r="H12" s="111"/>
    </row>
    <row r="13" spans="1:8">
      <c r="A13" s="111"/>
      <c r="B13" s="111"/>
      <c r="C13" s="111"/>
      <c r="D13" s="111"/>
      <c r="E13" s="111"/>
      <c r="F13" s="111"/>
      <c r="G13" s="111" t="s">
        <v>5775</v>
      </c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458" t="s">
        <v>1098</v>
      </c>
      <c r="C16" s="458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</row>
    <row r="18" spans="1:9">
      <c r="A18" s="111"/>
      <c r="B18" s="111"/>
      <c r="C18" s="111"/>
      <c r="D18" s="2"/>
      <c r="E18" s="2"/>
      <c r="F18" s="111"/>
      <c r="G18" s="111"/>
      <c r="H18" s="111"/>
      <c r="I18" s="242"/>
    </row>
    <row r="19" spans="1:9">
      <c r="A19" s="111"/>
      <c r="B19" s="111"/>
      <c r="C19" s="111"/>
      <c r="D19" s="2" t="s">
        <v>6539</v>
      </c>
      <c r="E19" s="111"/>
      <c r="F19" s="111"/>
      <c r="G19" s="111"/>
      <c r="H19" s="111"/>
      <c r="I19" s="111"/>
    </row>
    <row r="20" spans="1:9">
      <c r="I20" s="111"/>
    </row>
    <row r="21" spans="1:9">
      <c r="A21" s="112"/>
      <c r="B21" s="116"/>
      <c r="C21" s="116"/>
      <c r="D21" s="111" t="s">
        <v>6538</v>
      </c>
      <c r="E21" s="111"/>
      <c r="F21" s="111"/>
      <c r="G21" s="111"/>
      <c r="H21" s="111">
        <v>87.73</v>
      </c>
      <c r="I21" s="111"/>
    </row>
    <row r="22" spans="1:9">
      <c r="A22" s="123"/>
      <c r="B22" s="111"/>
      <c r="C22" s="111"/>
      <c r="D22" s="111" t="s">
        <v>6540</v>
      </c>
      <c r="E22" s="111"/>
      <c r="F22" s="111"/>
      <c r="G22" s="111"/>
      <c r="H22" s="111">
        <v>-11</v>
      </c>
      <c r="I22" s="111"/>
    </row>
    <row r="23" spans="1:9">
      <c r="A23" s="116"/>
      <c r="B23" s="121"/>
      <c r="C23" s="121"/>
      <c r="D23" s="111"/>
      <c r="E23" s="111"/>
      <c r="F23" s="111"/>
      <c r="G23" s="111"/>
      <c r="H23" s="111"/>
      <c r="I23" s="111"/>
    </row>
    <row r="24" spans="1:9">
      <c r="A24" s="116"/>
      <c r="B24" s="121"/>
      <c r="C24" s="121"/>
      <c r="D24" s="111"/>
      <c r="E24" s="111"/>
      <c r="F24" s="111"/>
      <c r="G24" s="111"/>
      <c r="H24" s="111"/>
    </row>
    <row r="25" spans="1:9">
      <c r="A25" s="111"/>
      <c r="B25" s="111"/>
      <c r="C25" s="111"/>
      <c r="D25" s="111"/>
      <c r="E25" s="111"/>
      <c r="F25" s="111"/>
      <c r="G25" s="111"/>
      <c r="H25" s="111"/>
    </row>
    <row r="26" spans="1:9">
      <c r="A26" s="120"/>
      <c r="B26" s="111"/>
      <c r="C26" s="111"/>
      <c r="D26" s="111"/>
      <c r="E26" s="111"/>
      <c r="F26" s="111"/>
      <c r="G26" s="111"/>
      <c r="H26" s="111"/>
    </row>
    <row r="27" spans="1:9">
      <c r="A27" s="111"/>
      <c r="B27" s="111"/>
      <c r="C27" s="111"/>
      <c r="D27" s="111"/>
      <c r="E27" s="111"/>
      <c r="F27" s="111"/>
      <c r="G27" s="111"/>
      <c r="H27" s="111"/>
    </row>
    <row r="28" spans="1:9">
      <c r="A28" s="111"/>
      <c r="B28" s="111"/>
      <c r="C28" s="111"/>
      <c r="D28" s="111"/>
      <c r="E28" s="111"/>
      <c r="F28" s="111"/>
      <c r="G28" s="111"/>
      <c r="H28" s="111"/>
    </row>
    <row r="29" spans="1:9">
      <c r="A29" s="111"/>
      <c r="B29" s="111"/>
      <c r="C29" s="111"/>
      <c r="D29" s="111"/>
      <c r="E29" s="111"/>
      <c r="F29" s="111"/>
      <c r="G29" s="111"/>
      <c r="H29" s="111"/>
    </row>
    <row r="30" spans="1:9">
      <c r="A30" s="123"/>
      <c r="B30" s="111"/>
      <c r="C30" s="111"/>
      <c r="D30" s="111"/>
      <c r="E30" s="111"/>
      <c r="F30" s="111"/>
      <c r="G30" s="111"/>
      <c r="H30" s="111"/>
    </row>
    <row r="31" spans="1:9">
      <c r="A31" s="111"/>
      <c r="B31" s="111"/>
      <c r="C31" s="111"/>
      <c r="D31" s="111"/>
      <c r="E31" s="111"/>
      <c r="F31" s="111"/>
      <c r="G31" s="111"/>
      <c r="H31" s="111"/>
    </row>
    <row r="32" spans="1:9">
      <c r="A32" s="123"/>
      <c r="B32" s="111"/>
      <c r="C32" s="111"/>
      <c r="D32" s="111"/>
      <c r="E32" s="111"/>
      <c r="F32" s="111"/>
      <c r="G32" s="111"/>
      <c r="H32" s="111"/>
    </row>
    <row r="33" spans="1:8" ht="13.5" thickBot="1">
      <c r="A33" s="111"/>
      <c r="B33" s="111"/>
      <c r="C33" s="111"/>
      <c r="D33" s="111"/>
      <c r="E33" s="111"/>
      <c r="F33" s="111"/>
      <c r="G33" s="111"/>
      <c r="H33" s="117">
        <f>SUM(H18:H32)</f>
        <v>76.73</v>
      </c>
    </row>
    <row r="34" spans="1:8" ht="13.5" thickTop="1">
      <c r="A34" s="111"/>
      <c r="B34" s="111"/>
      <c r="C34" s="111"/>
      <c r="D34" s="111"/>
      <c r="E34" s="111"/>
      <c r="F34" s="111"/>
      <c r="G34" s="111"/>
      <c r="H34" s="111"/>
    </row>
    <row r="35" spans="1:8" ht="20.100000000000001" customHeight="1">
      <c r="A35" s="118" t="s">
        <v>1133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Seventy-Six and 73/100 -----------</v>
      </c>
      <c r="C35" s="202"/>
      <c r="D35" s="119"/>
      <c r="E35" s="119"/>
      <c r="F35" s="119"/>
      <c r="G35" s="119"/>
      <c r="H35" s="119"/>
    </row>
    <row r="36" spans="1:8">
      <c r="A36" s="120" t="s">
        <v>11</v>
      </c>
      <c r="B36" s="111"/>
      <c r="C36" s="111"/>
      <c r="D36" s="111"/>
      <c r="E36" s="111"/>
      <c r="F36" s="111"/>
      <c r="G36" s="111"/>
      <c r="H36" s="111"/>
    </row>
    <row r="37" spans="1:8" ht="25.5">
      <c r="A37" s="126" t="s">
        <v>10</v>
      </c>
      <c r="B37" s="111"/>
      <c r="C37" s="111"/>
      <c r="D37" s="111"/>
      <c r="E37" s="111"/>
      <c r="F37" s="265" t="s">
        <v>2894</v>
      </c>
      <c r="G37" s="266"/>
      <c r="H37" s="267"/>
    </row>
    <row r="38" spans="1:8">
      <c r="A38" s="111"/>
      <c r="B38" s="111"/>
      <c r="C38" s="111"/>
      <c r="D38" s="111"/>
      <c r="E38" s="111"/>
      <c r="F38" s="111"/>
      <c r="G38" s="111"/>
      <c r="H38" s="111"/>
    </row>
    <row r="39" spans="1:8">
      <c r="A39" s="111"/>
      <c r="B39" s="111"/>
      <c r="C39" s="111"/>
      <c r="D39" s="111"/>
      <c r="E39" s="111"/>
      <c r="F39" s="111"/>
      <c r="G39" s="111"/>
      <c r="H39" s="111"/>
    </row>
    <row r="40" spans="1:8">
      <c r="A40" s="111"/>
      <c r="B40" s="111"/>
      <c r="C40" s="111"/>
      <c r="D40" s="121"/>
      <c r="E40" s="121"/>
      <c r="F40" s="111"/>
      <c r="G40" s="111"/>
      <c r="H40" s="111"/>
    </row>
    <row r="41" spans="1:8">
      <c r="A41" s="122"/>
      <c r="B41" s="122"/>
      <c r="C41" s="433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11"/>
      <c r="E42" s="111"/>
      <c r="F42" s="111"/>
      <c r="G42" s="111"/>
      <c r="H42" s="111"/>
    </row>
    <row r="43" spans="1:8">
      <c r="A43" s="123" t="s">
        <v>8</v>
      </c>
      <c r="B43" s="111"/>
      <c r="C43" s="111"/>
      <c r="D43" s="123" t="s">
        <v>8</v>
      </c>
      <c r="E43" s="111"/>
      <c r="F43" s="123" t="s">
        <v>7</v>
      </c>
      <c r="G43" s="111"/>
      <c r="H43" s="124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11"/>
      <c r="B45" s="111"/>
      <c r="C45" s="111"/>
      <c r="D45" s="111"/>
      <c r="E45" s="111"/>
      <c r="F45" s="111"/>
      <c r="G45" s="111"/>
      <c r="H45" s="111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22"/>
      <c r="B47" s="122"/>
      <c r="C47" s="433"/>
      <c r="D47" s="122"/>
      <c r="E47" s="111"/>
      <c r="F47" s="122"/>
      <c r="G47" s="122"/>
      <c r="H47" s="122"/>
    </row>
    <row r="48" spans="1:8" s="3" customFormat="1" ht="17.100000000000001" customHeight="1">
      <c r="A48" s="151" t="s">
        <v>2948</v>
      </c>
      <c r="B48" s="125"/>
      <c r="C48" s="125"/>
      <c r="D48" s="151" t="s">
        <v>103</v>
      </c>
      <c r="E48" s="126"/>
      <c r="F48" s="126" t="s">
        <v>3</v>
      </c>
      <c r="G48" s="126"/>
      <c r="H48" s="126"/>
    </row>
    <row r="49" spans="1:8">
      <c r="A49" s="111"/>
      <c r="B49" s="111"/>
      <c r="C49" s="111"/>
      <c r="D49" s="111"/>
      <c r="E49" s="111"/>
      <c r="F49" s="111" t="s">
        <v>2</v>
      </c>
      <c r="G49" s="111"/>
      <c r="H49" s="111"/>
    </row>
    <row r="50" spans="1:8">
      <c r="A50" s="111"/>
      <c r="B50" s="111"/>
      <c r="C50" s="111"/>
      <c r="D50" s="111"/>
      <c r="E50" s="111"/>
      <c r="F50" s="111"/>
      <c r="G50" s="111"/>
      <c r="H50" s="111"/>
    </row>
    <row r="51" spans="1:8">
      <c r="A51" s="111"/>
      <c r="B51" s="111"/>
      <c r="C51" s="111"/>
      <c r="D51" s="111"/>
      <c r="E51" s="111"/>
      <c r="F51" s="2" t="s">
        <v>1</v>
      </c>
      <c r="G51" s="111"/>
      <c r="H51" s="111"/>
    </row>
    <row r="52" spans="1:8">
      <c r="A52" s="111"/>
      <c r="B52" s="111"/>
      <c r="C52" s="111"/>
      <c r="D52" s="111"/>
      <c r="E52" s="111"/>
      <c r="F52" s="2" t="s">
        <v>0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5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99D6-AC30-49FD-A0E8-9C5589ADDEF5}">
  <sheetPr codeName="Sheet584">
    <pageSetUpPr fitToPage="1"/>
  </sheetPr>
  <dimension ref="A1:H55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2.140625" style="111" customWidth="1"/>
    <col min="3" max="3" width="0.5703125" style="111" customWidth="1"/>
    <col min="4" max="4" width="23" style="111" customWidth="1"/>
    <col min="5" max="5" width="1" style="111" customWidth="1"/>
    <col min="6" max="6" width="13.5703125" style="111" customWidth="1"/>
    <col min="7" max="7" width="9.5703125" style="111" customWidth="1"/>
    <col min="8" max="8" width="13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1090</v>
      </c>
      <c r="G9" s="132" t="s">
        <v>6041</v>
      </c>
    </row>
    <row r="10" spans="1:8">
      <c r="A10" s="111" t="s">
        <v>6042</v>
      </c>
      <c r="F10" s="112" t="s">
        <v>1340</v>
      </c>
      <c r="G10" s="132" t="s">
        <v>5968</v>
      </c>
    </row>
    <row r="11" spans="1:8">
      <c r="F11" s="112" t="s">
        <v>1341</v>
      </c>
      <c r="G11" s="132" t="s">
        <v>1094</v>
      </c>
    </row>
    <row r="12" spans="1:8">
      <c r="F12" s="112" t="s">
        <v>1135</v>
      </c>
      <c r="G12" s="120" t="s">
        <v>1270</v>
      </c>
    </row>
    <row r="16" spans="1:8" s="15" customFormat="1" ht="20.100000000000001" customHeight="1">
      <c r="A16" s="18" t="s">
        <v>1113</v>
      </c>
      <c r="B16" s="467" t="s">
        <v>1114</v>
      </c>
      <c r="C16" s="467"/>
      <c r="D16" s="533" t="s">
        <v>14</v>
      </c>
      <c r="E16" s="533"/>
      <c r="F16" s="533"/>
      <c r="G16" s="17"/>
      <c r="H16" s="16" t="s">
        <v>13</v>
      </c>
    </row>
    <row r="18" spans="1:8">
      <c r="A18" s="116"/>
      <c r="B18" s="116"/>
      <c r="C18" s="116"/>
      <c r="D18" s="2" t="s">
        <v>5945</v>
      </c>
      <c r="E18" s="2"/>
    </row>
    <row r="19" spans="1:8">
      <c r="D19" s="2" t="s">
        <v>6043</v>
      </c>
    </row>
    <row r="20" spans="1:8">
      <c r="A20" s="116"/>
      <c r="B20" s="116"/>
      <c r="C20" s="121"/>
    </row>
    <row r="21" spans="1:8">
      <c r="A21" s="112" t="s">
        <v>6044</v>
      </c>
      <c r="B21" s="116"/>
      <c r="C21" s="121"/>
      <c r="D21" s="111" t="s">
        <v>6045</v>
      </c>
      <c r="H21" s="111">
        <f>8600*4.2387</f>
        <v>36452.82</v>
      </c>
    </row>
    <row r="22" spans="1:8">
      <c r="A22" s="116"/>
      <c r="B22" s="116"/>
      <c r="C22" s="116"/>
      <c r="D22" s="111" t="s">
        <v>6046</v>
      </c>
      <c r="E22" s="2"/>
    </row>
    <row r="23" spans="1:8">
      <c r="A23" s="116"/>
      <c r="B23" s="121"/>
    </row>
    <row r="24" spans="1:8">
      <c r="A24" s="116"/>
      <c r="B24" s="116"/>
      <c r="C24" s="121"/>
      <c r="D24" s="111" t="s">
        <v>1697</v>
      </c>
      <c r="H24" s="111">
        <v>30</v>
      </c>
    </row>
    <row r="25" spans="1:8">
      <c r="A25" s="116"/>
      <c r="B25" s="116"/>
      <c r="C25" s="121"/>
    </row>
    <row r="26" spans="1:8">
      <c r="A26" s="116"/>
      <c r="B26" s="121"/>
      <c r="C26" s="121"/>
    </row>
    <row r="35" spans="1:8" ht="13.5" thickBot="1">
      <c r="H35" s="117">
        <f>SUM(H18:H34)</f>
        <v>36482.82</v>
      </c>
    </row>
    <row r="36" spans="1:8" ht="13.5" thickTop="1"/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Thirty-Six Thousand Four Hundred Eighty-Two and 82/100 -----------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11" t="s">
        <v>10</v>
      </c>
      <c r="D39" s="441"/>
      <c r="F39" s="265" t="s">
        <v>2894</v>
      </c>
      <c r="G39" s="266" t="s">
        <v>3298</v>
      </c>
      <c r="H39" s="267"/>
    </row>
    <row r="40" spans="1:8">
      <c r="D40" s="433"/>
    </row>
    <row r="41" spans="1:8">
      <c r="A41" s="126"/>
      <c r="D41" s="433"/>
    </row>
    <row r="42" spans="1:8">
      <c r="D42" s="433"/>
      <c r="E42" s="121"/>
    </row>
    <row r="43" spans="1:8">
      <c r="A43" s="122"/>
      <c r="B43" s="122"/>
      <c r="D43" s="433"/>
    </row>
    <row r="44" spans="1:8">
      <c r="D44" s="433"/>
    </row>
    <row r="46" spans="1:8">
      <c r="A46" s="123" t="s">
        <v>8</v>
      </c>
      <c r="D46" s="123" t="s">
        <v>8</v>
      </c>
      <c r="F46" s="123" t="s">
        <v>7</v>
      </c>
      <c r="H46" s="124"/>
    </row>
    <row r="50" spans="1:8">
      <c r="A50" s="122"/>
      <c r="B50" s="122"/>
      <c r="D50" s="122"/>
      <c r="F50" s="122"/>
      <c r="G50" s="122"/>
      <c r="H50" s="122"/>
    </row>
    <row r="51" spans="1:8" s="126" customFormat="1" ht="17.100000000000001" customHeight="1">
      <c r="A51" s="111" t="s">
        <v>2948</v>
      </c>
      <c r="B51" s="125"/>
      <c r="C51" s="125"/>
      <c r="D51" s="111" t="s">
        <v>103</v>
      </c>
      <c r="F51" s="126" t="s">
        <v>3</v>
      </c>
    </row>
    <row r="52" spans="1:8">
      <c r="F52" s="111" t="s">
        <v>2</v>
      </c>
    </row>
    <row r="53" spans="1:8">
      <c r="A53" s="151"/>
    </row>
    <row r="54" spans="1:8">
      <c r="F54" s="2" t="s">
        <v>1</v>
      </c>
    </row>
    <row r="55" spans="1:8">
      <c r="F55" s="2" t="s">
        <v>0</v>
      </c>
    </row>
  </sheetData>
  <mergeCells count="5">
    <mergeCell ref="A1:H1"/>
    <mergeCell ref="A2:H2"/>
    <mergeCell ref="A3:H3"/>
    <mergeCell ref="A4:H4"/>
    <mergeCell ref="D16:F16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25607-AFB6-49ED-8034-590EF00C45D7}">
  <sheetPr codeName="Sheet585">
    <pageSetUpPr fitToPage="1"/>
  </sheetPr>
  <dimension ref="A1:R66"/>
  <sheetViews>
    <sheetView zoomScaleNormal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4" width="9.140625" style="1"/>
    <col min="15" max="15" width="10.5703125" style="1" bestFit="1" customWidth="1"/>
    <col min="16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  <c r="K3" s="111" t="s">
        <v>6112</v>
      </c>
      <c r="L3" s="111"/>
      <c r="M3" s="111"/>
      <c r="N3" s="111"/>
      <c r="O3" s="111">
        <f>9300*3.0631</f>
        <v>28486.829999999998</v>
      </c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  <c r="K4" s="111" t="s">
        <v>6113</v>
      </c>
      <c r="O4" s="111"/>
    </row>
    <row r="5" spans="1:15">
      <c r="K5" s="167" t="s">
        <v>4504</v>
      </c>
      <c r="O5" s="111"/>
    </row>
    <row r="7" spans="1:15">
      <c r="K7" s="111" t="s">
        <v>1697</v>
      </c>
      <c r="O7" s="111">
        <v>10</v>
      </c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  <c r="K8" s="111"/>
      <c r="L8" s="111"/>
      <c r="M8" s="111"/>
      <c r="N8" s="111"/>
      <c r="O8" s="111"/>
    </row>
    <row r="9" spans="1:15">
      <c r="A9" s="111"/>
      <c r="B9" s="111"/>
      <c r="C9" s="111"/>
      <c r="D9" s="111"/>
      <c r="E9" s="111"/>
      <c r="F9" s="112" t="s">
        <v>22</v>
      </c>
      <c r="G9" s="126" t="s">
        <v>6120</v>
      </c>
      <c r="H9" s="111"/>
      <c r="K9" s="111"/>
      <c r="L9" s="111"/>
      <c r="M9" s="111"/>
      <c r="N9" s="111"/>
      <c r="O9" s="111"/>
    </row>
    <row r="10" spans="1:15">
      <c r="A10" s="111" t="s">
        <v>6121</v>
      </c>
      <c r="B10" s="111"/>
      <c r="C10" s="111"/>
      <c r="D10" s="111"/>
      <c r="E10" s="111"/>
      <c r="F10" s="112" t="s">
        <v>21</v>
      </c>
      <c r="G10" s="160" t="s">
        <v>6047</v>
      </c>
      <c r="H10" s="111"/>
      <c r="J10" s="21"/>
      <c r="K10" s="111" t="s">
        <v>5345</v>
      </c>
      <c r="L10" s="111"/>
      <c r="M10" s="111"/>
    </row>
    <row r="11" spans="1:15">
      <c r="A11" s="111"/>
      <c r="B11" s="111"/>
      <c r="C11" s="111"/>
      <c r="D11" s="111"/>
      <c r="E11" s="111"/>
      <c r="F11" s="112" t="s">
        <v>19</v>
      </c>
      <c r="G11" s="160" t="s">
        <v>1094</v>
      </c>
      <c r="H11" s="111"/>
      <c r="J11" s="336"/>
      <c r="K11" s="111" t="s">
        <v>5346</v>
      </c>
    </row>
    <row r="12" spans="1:15">
      <c r="A12" s="111"/>
      <c r="B12" s="111"/>
      <c r="C12" s="111"/>
      <c r="D12" s="111"/>
      <c r="E12" s="111"/>
      <c r="F12" s="112" t="s">
        <v>17</v>
      </c>
      <c r="G12" s="160" t="s">
        <v>1270</v>
      </c>
      <c r="H12" s="111"/>
      <c r="K12" s="111"/>
    </row>
    <row r="13" spans="1:15">
      <c r="A13" s="111"/>
      <c r="B13" s="111"/>
      <c r="C13" s="111"/>
      <c r="D13" s="111"/>
      <c r="E13" s="111"/>
      <c r="F13" s="111"/>
      <c r="G13" s="131"/>
      <c r="H13" s="111"/>
      <c r="K13" s="111" t="s">
        <v>1697</v>
      </c>
    </row>
    <row r="14" spans="1:15">
      <c r="A14" s="111"/>
      <c r="B14" s="111"/>
      <c r="C14" s="111"/>
      <c r="D14" s="111"/>
      <c r="E14" s="111"/>
      <c r="F14" s="111"/>
      <c r="G14" s="131"/>
      <c r="H14" s="111"/>
    </row>
    <row r="15" spans="1:15">
      <c r="A15" s="111"/>
      <c r="B15" s="111"/>
      <c r="C15" s="111"/>
      <c r="D15" s="111"/>
      <c r="E15" s="111"/>
      <c r="F15" s="111"/>
      <c r="G15" s="111"/>
      <c r="H15" s="111"/>
      <c r="K15" s="111" t="s">
        <v>5347</v>
      </c>
      <c r="L15" s="111"/>
      <c r="M15" s="111"/>
      <c r="N15" s="111"/>
      <c r="O15" s="111">
        <f>4050*2.9926996</f>
        <v>12120.43338</v>
      </c>
    </row>
    <row r="16" spans="1:15" s="15" customFormat="1" ht="20.100000000000001" customHeight="1">
      <c r="A16" s="18" t="s">
        <v>1140</v>
      </c>
      <c r="B16" s="469" t="s">
        <v>1098</v>
      </c>
      <c r="C16" s="469"/>
      <c r="D16" s="19" t="s">
        <v>14</v>
      </c>
      <c r="E16" s="19"/>
      <c r="F16" s="18"/>
      <c r="G16" s="17"/>
      <c r="H16" s="16" t="s">
        <v>13</v>
      </c>
      <c r="K16" s="111"/>
      <c r="L16" s="1"/>
      <c r="M16" s="1"/>
      <c r="N16" s="1"/>
      <c r="O16" s="111"/>
    </row>
    <row r="17" spans="1:18">
      <c r="A17" s="111"/>
      <c r="B17" s="111"/>
      <c r="C17" s="111"/>
      <c r="D17" s="111"/>
      <c r="E17" s="111"/>
      <c r="F17" s="111"/>
      <c r="G17" s="111"/>
      <c r="H17" s="111"/>
      <c r="K17" s="111" t="s">
        <v>5348</v>
      </c>
      <c r="O17" s="111"/>
    </row>
    <row r="18" spans="1:18">
      <c r="A18" s="111"/>
      <c r="B18" s="111"/>
      <c r="C18" s="111"/>
      <c r="D18" s="2" t="s">
        <v>5818</v>
      </c>
      <c r="E18" s="2"/>
      <c r="F18" s="111"/>
      <c r="G18" s="111"/>
      <c r="H18" s="111"/>
    </row>
    <row r="19" spans="1:18">
      <c r="A19" s="111"/>
      <c r="B19" s="111"/>
      <c r="C19" s="111"/>
      <c r="D19" s="2" t="s">
        <v>6122</v>
      </c>
      <c r="E19" s="2"/>
      <c r="F19" s="111"/>
      <c r="G19" s="111"/>
      <c r="H19" s="111"/>
      <c r="K19" s="111" t="s">
        <v>5349</v>
      </c>
      <c r="L19" s="111"/>
      <c r="M19" s="111"/>
      <c r="N19" s="111"/>
      <c r="O19" s="111">
        <f>9300*2.9926996</f>
        <v>27832.10628</v>
      </c>
    </row>
    <row r="20" spans="1:18">
      <c r="A20" s="116"/>
      <c r="B20" s="116"/>
      <c r="C20" s="116"/>
      <c r="D20" s="111"/>
      <c r="E20" s="111"/>
      <c r="F20" s="111"/>
      <c r="G20" s="111"/>
      <c r="H20" s="111"/>
      <c r="K20" s="111"/>
      <c r="L20" s="111"/>
      <c r="M20" s="111"/>
      <c r="N20" s="111"/>
      <c r="O20" s="111"/>
    </row>
    <row r="21" spans="1:18">
      <c r="A21" s="116" t="s">
        <v>6096</v>
      </c>
      <c r="B21" s="116" t="s">
        <v>6123</v>
      </c>
      <c r="C21" s="120"/>
      <c r="D21" s="111" t="s">
        <v>6124</v>
      </c>
      <c r="H21" s="111">
        <v>20000.02</v>
      </c>
      <c r="K21" s="111" t="s">
        <v>5350</v>
      </c>
      <c r="L21" s="111"/>
      <c r="O21" s="111"/>
    </row>
    <row r="22" spans="1:18">
      <c r="A22" s="116"/>
      <c r="B22" s="116"/>
      <c r="C22" s="116"/>
      <c r="D22" s="111" t="s">
        <v>6125</v>
      </c>
      <c r="H22" s="111"/>
    </row>
    <row r="23" spans="1:18">
      <c r="D23" s="111"/>
      <c r="H23" s="111"/>
      <c r="K23" s="111" t="s">
        <v>2831</v>
      </c>
      <c r="O23" s="111">
        <v>10</v>
      </c>
    </row>
    <row r="24" spans="1:18">
      <c r="A24" s="116"/>
      <c r="B24" s="116"/>
      <c r="C24" s="120"/>
      <c r="D24" s="111" t="s">
        <v>1697</v>
      </c>
      <c r="H24" s="111">
        <v>30</v>
      </c>
      <c r="K24" s="111"/>
      <c r="L24" s="111"/>
    </row>
    <row r="25" spans="1:18">
      <c r="A25" s="116"/>
      <c r="B25" s="116"/>
      <c r="C25" s="116"/>
      <c r="D25" s="111"/>
      <c r="E25" s="111"/>
      <c r="F25" s="111"/>
      <c r="G25" s="111"/>
      <c r="H25" s="111"/>
      <c r="K25" s="111" t="s">
        <v>5351</v>
      </c>
      <c r="L25" s="111"/>
      <c r="M25" s="111"/>
      <c r="N25" s="111"/>
      <c r="O25" s="111">
        <f>9300*3.0413</f>
        <v>28284.09</v>
      </c>
    </row>
    <row r="26" spans="1:18">
      <c r="A26" s="111"/>
      <c r="B26" s="111"/>
      <c r="C26" s="111"/>
      <c r="D26" s="111"/>
      <c r="E26" s="111"/>
      <c r="F26" s="111"/>
      <c r="G26" s="111"/>
      <c r="H26" s="111"/>
      <c r="K26" s="111" t="s">
        <v>5352</v>
      </c>
      <c r="O26" s="111"/>
    </row>
    <row r="27" spans="1:18">
      <c r="A27" s="116"/>
      <c r="B27" s="116"/>
      <c r="C27" s="120"/>
      <c r="D27" s="111"/>
      <c r="E27" s="111"/>
      <c r="H27" s="111"/>
      <c r="K27" s="111"/>
      <c r="O27" s="111"/>
    </row>
    <row r="28" spans="1:18">
      <c r="A28" s="111"/>
      <c r="B28" s="111"/>
      <c r="C28" s="111"/>
      <c r="D28" s="111"/>
      <c r="K28" s="111" t="s">
        <v>5353</v>
      </c>
      <c r="O28" s="111">
        <f>4050*3.0413</f>
        <v>12317.265000000001</v>
      </c>
    </row>
    <row r="29" spans="1:18">
      <c r="A29" s="111"/>
      <c r="B29" s="111"/>
      <c r="C29" s="111"/>
      <c r="D29" s="111"/>
      <c r="H29" s="111"/>
      <c r="K29" s="111" t="s">
        <v>5354</v>
      </c>
      <c r="L29" s="111"/>
      <c r="M29" s="111"/>
      <c r="N29" s="111"/>
      <c r="O29" s="111"/>
    </row>
    <row r="30" spans="1:18">
      <c r="A30" s="111"/>
      <c r="B30" s="120"/>
      <c r="C30" s="120"/>
      <c r="K30" s="111"/>
      <c r="L30" s="111"/>
      <c r="M30" s="111"/>
      <c r="N30" s="111"/>
      <c r="O30" s="111"/>
    </row>
    <row r="31" spans="1:18">
      <c r="A31" s="111"/>
      <c r="B31" s="111"/>
      <c r="C31" s="111"/>
    </row>
    <row r="32" spans="1:18">
      <c r="A32" s="111"/>
      <c r="B32" s="111"/>
      <c r="C32" s="111"/>
      <c r="K32" s="116" t="s">
        <v>6114</v>
      </c>
      <c r="L32" s="116" t="s">
        <v>6115</v>
      </c>
      <c r="M32" s="120"/>
      <c r="N32" s="111" t="s">
        <v>6116</v>
      </c>
      <c r="R32" s="111">
        <f>18200*3.0647</f>
        <v>55777.54</v>
      </c>
    </row>
    <row r="33" spans="1:18">
      <c r="A33" s="111"/>
      <c r="B33" s="111"/>
      <c r="C33" s="111"/>
      <c r="K33" s="116"/>
      <c r="L33" s="116"/>
      <c r="M33" s="116"/>
      <c r="N33" s="111" t="s">
        <v>6117</v>
      </c>
      <c r="O33" s="111"/>
      <c r="P33" s="111"/>
      <c r="Q33" s="111"/>
      <c r="R33" s="111"/>
    </row>
    <row r="34" spans="1:18">
      <c r="A34" s="111"/>
      <c r="B34" s="111"/>
      <c r="C34" s="111"/>
      <c r="K34" s="111"/>
      <c r="L34" s="111"/>
      <c r="M34" s="111"/>
      <c r="N34" s="111"/>
      <c r="O34" s="111"/>
      <c r="P34" s="111"/>
      <c r="Q34" s="111"/>
      <c r="R34" s="111"/>
    </row>
    <row r="35" spans="1:18">
      <c r="A35" s="111"/>
      <c r="B35" s="111"/>
      <c r="C35" s="111"/>
      <c r="K35" s="116" t="s">
        <v>6114</v>
      </c>
      <c r="L35" s="116" t="s">
        <v>6118</v>
      </c>
      <c r="M35" s="120"/>
      <c r="N35" s="111" t="s">
        <v>6119</v>
      </c>
      <c r="O35" s="111"/>
      <c r="R35" s="111">
        <f>3000*3.0647</f>
        <v>9194.1</v>
      </c>
    </row>
    <row r="36" spans="1:18">
      <c r="A36" s="111"/>
      <c r="B36" s="111"/>
      <c r="C36" s="111"/>
      <c r="D36" s="111"/>
      <c r="E36" s="111"/>
      <c r="F36" s="111"/>
      <c r="G36" s="111"/>
      <c r="H36" s="111"/>
    </row>
    <row r="37" spans="1:18" ht="13.5" thickBot="1">
      <c r="A37" s="111"/>
      <c r="B37" s="111"/>
      <c r="C37" s="111"/>
      <c r="D37" s="111"/>
      <c r="E37" s="111"/>
      <c r="F37" s="111"/>
      <c r="G37" s="111"/>
      <c r="H37" s="117">
        <f>SUM(H18:H36)</f>
        <v>20030.02</v>
      </c>
    </row>
    <row r="38" spans="1:18" ht="13.5" thickTop="1">
      <c r="A38" s="111"/>
      <c r="B38" s="111"/>
      <c r="C38" s="111"/>
      <c r="D38" s="111"/>
      <c r="E38" s="111"/>
    </row>
    <row r="39" spans="1:18" ht="20.100000000000001" customHeight="1">
      <c r="A39" s="118" t="s">
        <v>204</v>
      </c>
      <c r="B39" s="204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Twenty Thousand Thirty and 2/100 -----------</v>
      </c>
      <c r="C39" s="204"/>
      <c r="D39" s="119"/>
      <c r="E39" s="119"/>
      <c r="F39" s="119"/>
      <c r="G39" s="119"/>
      <c r="H39" s="119"/>
    </row>
    <row r="40" spans="1:18" ht="20.100000000000001" customHeight="1">
      <c r="A40" s="160"/>
      <c r="B40" s="145"/>
      <c r="C40" s="145"/>
      <c r="D40" s="126"/>
      <c r="E40" s="126"/>
      <c r="F40" s="126"/>
      <c r="G40" s="126"/>
      <c r="H40" s="126"/>
    </row>
    <row r="41" spans="1:18" ht="25.5">
      <c r="A41" s="120" t="s">
        <v>3060</v>
      </c>
      <c r="B41" s="111"/>
      <c r="C41" s="111"/>
      <c r="D41" s="111"/>
      <c r="E41" s="111"/>
      <c r="F41" s="265" t="s">
        <v>2894</v>
      </c>
      <c r="G41" s="266"/>
      <c r="H41" s="267"/>
    </row>
    <row r="42" spans="1:18">
      <c r="A42" s="111"/>
      <c r="B42" s="111"/>
      <c r="C42" s="111"/>
      <c r="D42" s="111"/>
      <c r="E42" s="111"/>
      <c r="F42" s="310"/>
      <c r="G42" s="311"/>
      <c r="H42" s="311"/>
    </row>
    <row r="43" spans="1:18">
      <c r="B43" s="111"/>
      <c r="C43" s="111"/>
      <c r="D43" s="111"/>
      <c r="E43" s="111"/>
      <c r="F43" s="111"/>
      <c r="G43" s="111"/>
      <c r="H43" s="111"/>
    </row>
    <row r="44" spans="1:18">
      <c r="A44" s="111"/>
      <c r="B44" s="111"/>
      <c r="C44" s="111"/>
      <c r="D44" s="111"/>
      <c r="E44" s="111"/>
      <c r="F44" s="111"/>
      <c r="G44" s="111"/>
      <c r="H44" s="111"/>
    </row>
    <row r="45" spans="1:18">
      <c r="A45" s="122"/>
      <c r="B45" s="122"/>
      <c r="C45" s="111"/>
      <c r="D45" s="111"/>
      <c r="E45" s="111"/>
      <c r="F45" s="111"/>
      <c r="G45" s="111"/>
      <c r="H45" s="111"/>
    </row>
    <row r="46" spans="1:18">
      <c r="A46" s="111"/>
      <c r="B46" s="111"/>
      <c r="C46" s="111"/>
      <c r="D46" s="111"/>
      <c r="E46" s="111"/>
      <c r="F46" s="111"/>
      <c r="G46" s="111"/>
      <c r="H46" s="111"/>
    </row>
    <row r="47" spans="1:18">
      <c r="A47" s="123" t="s">
        <v>8</v>
      </c>
      <c r="B47" s="111"/>
      <c r="C47" s="111"/>
      <c r="D47" s="123" t="s">
        <v>8</v>
      </c>
      <c r="E47" s="111"/>
      <c r="F47" s="123" t="s">
        <v>7</v>
      </c>
      <c r="G47" s="111"/>
      <c r="H47" s="124"/>
    </row>
    <row r="48" spans="1:1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11"/>
      <c r="B50" s="111"/>
      <c r="C50" s="111"/>
      <c r="D50" s="111"/>
      <c r="E50" s="111"/>
      <c r="F50" s="111"/>
      <c r="G50" s="111"/>
      <c r="H50" s="111"/>
    </row>
    <row r="51" spans="1:8">
      <c r="A51" s="122"/>
      <c r="B51" s="122"/>
      <c r="C51" s="111"/>
      <c r="D51" s="122"/>
      <c r="E51" s="111"/>
      <c r="F51" s="122"/>
      <c r="G51" s="122"/>
      <c r="H51" s="122"/>
    </row>
    <row r="52" spans="1:8" s="3" customFormat="1" ht="17.100000000000001" customHeight="1">
      <c r="A52" s="151" t="s">
        <v>2948</v>
      </c>
      <c r="B52" s="125"/>
      <c r="C52" s="125"/>
      <c r="D52" s="151" t="s">
        <v>103</v>
      </c>
      <c r="E52" s="126"/>
      <c r="F52" s="126" t="s">
        <v>3</v>
      </c>
      <c r="G52" s="126"/>
      <c r="H52" s="126"/>
    </row>
    <row r="53" spans="1:8">
      <c r="A53" s="111"/>
      <c r="B53" s="111"/>
      <c r="C53" s="111"/>
      <c r="D53" s="111"/>
      <c r="E53" s="111"/>
      <c r="F53" s="111" t="s">
        <v>2</v>
      </c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  <row r="55" spans="1:8">
      <c r="A55" s="111"/>
      <c r="B55" s="111"/>
      <c r="C55" s="111"/>
      <c r="D55" s="111"/>
      <c r="E55" s="111"/>
      <c r="F55" s="2" t="s">
        <v>1</v>
      </c>
      <c r="G55" s="111"/>
      <c r="H55" s="111"/>
    </row>
    <row r="56" spans="1:8">
      <c r="A56" s="111"/>
      <c r="B56" s="111"/>
      <c r="C56" s="111"/>
      <c r="D56" s="111"/>
      <c r="E56" s="111"/>
      <c r="F56" s="2" t="s">
        <v>0</v>
      </c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  <row r="65" spans="1:8">
      <c r="A65" s="111"/>
      <c r="B65" s="111"/>
      <c r="C65" s="111"/>
      <c r="D65" s="111"/>
      <c r="E65" s="111"/>
      <c r="F65" s="111"/>
      <c r="G65" s="111"/>
      <c r="H65" s="111"/>
    </row>
    <row r="66" spans="1:8">
      <c r="A66" s="111"/>
      <c r="B66" s="111"/>
      <c r="C66" s="111"/>
      <c r="D66" s="111"/>
      <c r="E66" s="111"/>
      <c r="F66" s="111"/>
      <c r="G66" s="111"/>
      <c r="H6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5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EB776-6CDD-4050-BA4A-047BB74BD40D}">
  <sheetPr codeName="Sheet586"/>
  <dimension ref="A1:O57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28515625" style="1" customWidth="1"/>
    <col min="2" max="2" width="13.5703125" style="1" customWidth="1"/>
    <col min="3" max="3" width="1" style="1" customWidth="1"/>
    <col min="4" max="4" width="21.85546875" style="1" customWidth="1"/>
    <col min="5" max="5" width="0.7109375" style="1" customWidth="1"/>
    <col min="6" max="6" width="16.42578125" style="1" customWidth="1"/>
    <col min="7" max="7" width="10.85546875" style="1" customWidth="1"/>
    <col min="8" max="8" width="12" style="1" customWidth="1"/>
    <col min="9" max="9" width="3.85546875" style="1" customWidth="1"/>
    <col min="10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</row>
    <row r="7" spans="1:15" s="111" customFormat="1"/>
    <row r="8" spans="1:15" s="111" customFormat="1">
      <c r="A8" s="111" t="s">
        <v>24</v>
      </c>
      <c r="F8" s="22" t="s">
        <v>23</v>
      </c>
    </row>
    <row r="9" spans="1:15" s="111" customFormat="1">
      <c r="F9" s="112" t="s">
        <v>5604</v>
      </c>
      <c r="G9" s="111" t="s">
        <v>6129</v>
      </c>
    </row>
    <row r="10" spans="1:15" s="111" customFormat="1">
      <c r="A10" s="111" t="s">
        <v>6131</v>
      </c>
      <c r="F10" s="112" t="s">
        <v>5605</v>
      </c>
      <c r="G10" s="111" t="s">
        <v>6126</v>
      </c>
    </row>
    <row r="11" spans="1:15" s="111" customFormat="1">
      <c r="A11" s="111" t="s">
        <v>6132</v>
      </c>
      <c r="F11" s="112" t="s">
        <v>5607</v>
      </c>
      <c r="G11" s="111" t="s">
        <v>1094</v>
      </c>
      <c r="L11" s="111" t="s">
        <v>6127</v>
      </c>
      <c r="M11" s="111">
        <v>43690</v>
      </c>
      <c r="O11" s="111" t="s">
        <v>6128</v>
      </c>
    </row>
    <row r="12" spans="1:15" s="111" customFormat="1">
      <c r="A12" s="111" t="s">
        <v>6133</v>
      </c>
      <c r="F12" s="112" t="s">
        <v>2136</v>
      </c>
      <c r="G12" s="111" t="s">
        <v>6130</v>
      </c>
    </row>
    <row r="13" spans="1:15" s="111" customFormat="1">
      <c r="A13" s="111" t="s">
        <v>2921</v>
      </c>
      <c r="G13" s="111" t="s">
        <v>5914</v>
      </c>
    </row>
    <row r="14" spans="1:15" s="111" customFormat="1">
      <c r="A14" s="111" t="s">
        <v>6134</v>
      </c>
    </row>
    <row r="15" spans="1:15" s="111" customFormat="1"/>
    <row r="16" spans="1:15" s="15" customFormat="1" ht="20.100000000000001" customHeight="1">
      <c r="A16" s="18" t="s">
        <v>1122</v>
      </c>
      <c r="B16" s="470" t="s">
        <v>1132</v>
      </c>
      <c r="C16" s="470"/>
      <c r="D16" s="19" t="s">
        <v>14</v>
      </c>
      <c r="E16" s="19"/>
      <c r="F16" s="18"/>
      <c r="G16" s="17"/>
      <c r="H16" s="16" t="s">
        <v>13</v>
      </c>
    </row>
    <row r="17" spans="1:8" s="111" customFormat="1"/>
    <row r="18" spans="1:8" s="111" customFormat="1">
      <c r="A18" s="116"/>
      <c r="B18" s="121"/>
      <c r="C18" s="121"/>
      <c r="D18" s="2" t="s">
        <v>4157</v>
      </c>
    </row>
    <row r="19" spans="1:8" s="111" customFormat="1"/>
    <row r="20" spans="1:8" s="111" customFormat="1">
      <c r="A20" s="116" t="s">
        <v>6135</v>
      </c>
      <c r="B20" s="116" t="s">
        <v>6136</v>
      </c>
      <c r="C20" s="116"/>
      <c r="D20" s="111" t="s">
        <v>6137</v>
      </c>
      <c r="H20" s="111">
        <v>800</v>
      </c>
    </row>
    <row r="21" spans="1:8" s="111" customFormat="1"/>
    <row r="22" spans="1:8" s="111" customFormat="1"/>
    <row r="23" spans="1:8" s="111" customFormat="1"/>
    <row r="24" spans="1:8" s="111" customFormat="1">
      <c r="A24" s="116"/>
      <c r="B24" s="116"/>
      <c r="C24" s="116"/>
    </row>
    <row r="25" spans="1:8" s="111" customFormat="1"/>
    <row r="26" spans="1:8" s="111" customFormat="1">
      <c r="A26" s="116"/>
      <c r="B26" s="116"/>
      <c r="C26" s="116"/>
    </row>
    <row r="27" spans="1:8" s="111" customFormat="1"/>
    <row r="28" spans="1:8" s="111" customFormat="1"/>
    <row r="29" spans="1:8" s="111" customFormat="1">
      <c r="B29" s="120"/>
      <c r="C29" s="120"/>
    </row>
    <row r="30" spans="1:8" s="111" customFormat="1">
      <c r="B30" s="120"/>
      <c r="C30" s="120"/>
    </row>
    <row r="31" spans="1:8" s="111" customFormat="1">
      <c r="B31" s="120"/>
      <c r="C31" s="120"/>
    </row>
    <row r="32" spans="1:8" s="111" customFormat="1"/>
    <row r="33" spans="1:8" s="111" customFormat="1"/>
    <row r="34" spans="1:8" s="111" customFormat="1"/>
    <row r="35" spans="1:8" s="111" customFormat="1" ht="13.5" thickBot="1">
      <c r="H35" s="127">
        <f>SUM(H18:H33)</f>
        <v>800</v>
      </c>
    </row>
    <row r="36" spans="1:8" s="111" customFormat="1" ht="13.5" thickTop="1">
      <c r="H36" s="122"/>
    </row>
    <row r="37" spans="1:8" s="111" customFormat="1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Eight Hundred and NO/100 -----------</v>
      </c>
      <c r="C37" s="202"/>
      <c r="D37" s="119"/>
      <c r="E37" s="119"/>
      <c r="F37" s="119"/>
      <c r="G37" s="119"/>
      <c r="H37" s="270"/>
    </row>
    <row r="38" spans="1:8" s="111" customFormat="1">
      <c r="A38" s="120" t="s">
        <v>11</v>
      </c>
    </row>
    <row r="39" spans="1:8" s="111" customFormat="1" ht="25.5">
      <c r="A39" s="111" t="s">
        <v>10</v>
      </c>
      <c r="F39" s="265" t="s">
        <v>2894</v>
      </c>
      <c r="G39" s="266"/>
      <c r="H39" s="267"/>
    </row>
    <row r="40" spans="1:8" s="111" customFormat="1"/>
    <row r="41" spans="1:8" s="111" customFormat="1">
      <c r="F41" s="309"/>
      <c r="G41" s="309"/>
      <c r="H41" s="309"/>
    </row>
    <row r="42" spans="1:8" s="111" customFormat="1">
      <c r="F42" s="310"/>
      <c r="G42" s="311"/>
      <c r="H42" s="311"/>
    </row>
    <row r="43" spans="1:8" s="111" customFormat="1">
      <c r="A43" s="122"/>
      <c r="B43" s="122"/>
    </row>
    <row r="44" spans="1:8" s="111" customFormat="1"/>
    <row r="45" spans="1:8" s="111" customFormat="1">
      <c r="A45" s="123" t="s">
        <v>8</v>
      </c>
      <c r="D45" s="123" t="s">
        <v>8</v>
      </c>
      <c r="F45" s="123" t="s">
        <v>7</v>
      </c>
      <c r="H45" s="124"/>
    </row>
    <row r="46" spans="1:8" s="111" customFormat="1"/>
    <row r="47" spans="1:8" s="111" customFormat="1"/>
    <row r="48" spans="1:8" s="111" customFormat="1"/>
    <row r="49" spans="1:8" s="111" customFormat="1">
      <c r="A49" s="122"/>
      <c r="B49" s="122"/>
      <c r="D49" s="122"/>
      <c r="F49" s="122"/>
      <c r="G49" s="122"/>
      <c r="H49" s="122"/>
    </row>
    <row r="50" spans="1:8" s="126" customFormat="1" ht="17.100000000000001" customHeight="1">
      <c r="A50" s="151" t="s">
        <v>3441</v>
      </c>
      <c r="B50" s="125"/>
      <c r="C50" s="125"/>
      <c r="D50" s="151" t="s">
        <v>103</v>
      </c>
      <c r="F50" s="126" t="s">
        <v>3</v>
      </c>
    </row>
    <row r="51" spans="1:8" s="111" customFormat="1">
      <c r="F51" s="111" t="s">
        <v>2</v>
      </c>
    </row>
    <row r="52" spans="1:8" s="111" customFormat="1"/>
    <row r="53" spans="1:8" s="111" customFormat="1">
      <c r="F53" s="2" t="s">
        <v>1</v>
      </c>
    </row>
    <row r="54" spans="1:8" s="111" customFormat="1">
      <c r="F54" s="2" t="s">
        <v>0</v>
      </c>
    </row>
    <row r="55" spans="1:8" s="111" customFormat="1"/>
    <row r="56" spans="1:8" s="111" customFormat="1"/>
    <row r="57" spans="1:8" s="111" customFormat="1"/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5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658E2-5E65-46BD-8D8D-1AB7DDF293F6}">
  <sheetPr codeName="Sheet587"/>
  <dimension ref="A1:H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0.7109375" style="1" customWidth="1"/>
    <col min="4" max="4" width="23" style="1" customWidth="1"/>
    <col min="5" max="5" width="0.855468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11" t="s">
        <v>6153</v>
      </c>
      <c r="H9" s="111"/>
    </row>
    <row r="10" spans="1:8">
      <c r="A10" s="111" t="s">
        <v>6155</v>
      </c>
      <c r="B10" s="111"/>
      <c r="C10" s="111"/>
      <c r="D10" s="111"/>
      <c r="E10" s="111"/>
      <c r="F10" s="112" t="s">
        <v>1162</v>
      </c>
      <c r="G10" s="123" t="s">
        <v>6140</v>
      </c>
      <c r="H10" s="111"/>
    </row>
    <row r="11" spans="1:8">
      <c r="A11" s="111" t="s">
        <v>6156</v>
      </c>
      <c r="B11" s="111"/>
      <c r="C11" s="111"/>
      <c r="D11" s="111"/>
      <c r="E11" s="111"/>
      <c r="F11" s="112" t="s">
        <v>1163</v>
      </c>
      <c r="G11" s="112" t="s">
        <v>1094</v>
      </c>
      <c r="H11" s="111"/>
    </row>
    <row r="12" spans="1:8">
      <c r="A12" s="111" t="s">
        <v>6157</v>
      </c>
      <c r="B12" s="111"/>
      <c r="C12" s="111"/>
      <c r="D12" s="111"/>
      <c r="E12" s="111"/>
      <c r="F12" s="112" t="s">
        <v>1135</v>
      </c>
      <c r="G12" s="120" t="s">
        <v>6154</v>
      </c>
      <c r="H12" s="111"/>
    </row>
    <row r="13" spans="1:8">
      <c r="A13" s="111" t="s">
        <v>2978</v>
      </c>
      <c r="B13" s="111"/>
      <c r="C13" s="111"/>
      <c r="D13" s="111"/>
      <c r="E13" s="111"/>
      <c r="F13" s="111"/>
      <c r="G13" s="131" t="s">
        <v>5914</v>
      </c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D18" s="2" t="s">
        <v>6152</v>
      </c>
      <c r="E18" s="2"/>
    </row>
    <row r="20" spans="1:8">
      <c r="A20" s="116" t="s">
        <v>6056</v>
      </c>
      <c r="B20" s="116" t="s">
        <v>6158</v>
      </c>
      <c r="C20" s="116"/>
      <c r="D20" s="111" t="s">
        <v>6159</v>
      </c>
      <c r="E20" s="111"/>
      <c r="H20" s="111">
        <v>1000</v>
      </c>
    </row>
    <row r="21" spans="1:8">
      <c r="A21" s="116"/>
      <c r="B21" s="116"/>
      <c r="C21" s="116"/>
      <c r="D21" s="111"/>
      <c r="E21" s="111"/>
      <c r="H21" s="111"/>
    </row>
    <row r="22" spans="1:8">
      <c r="A22" s="116"/>
      <c r="B22" s="116"/>
      <c r="C22" s="116"/>
      <c r="D22" s="2"/>
      <c r="E22" s="111"/>
      <c r="H22" s="111"/>
    </row>
    <row r="23" spans="1:8">
      <c r="D23" s="111"/>
      <c r="E23" s="111"/>
    </row>
    <row r="24" spans="1:8">
      <c r="A24" s="116"/>
      <c r="B24" s="116"/>
      <c r="C24" s="116"/>
      <c r="D24" s="111"/>
      <c r="E24" s="111"/>
      <c r="H24" s="111"/>
    </row>
    <row r="25" spans="1:8">
      <c r="D25" s="2"/>
      <c r="E25" s="2"/>
    </row>
    <row r="26" spans="1:8">
      <c r="A26" s="116"/>
      <c r="B26" s="116"/>
      <c r="C26" s="116"/>
      <c r="D26" s="111"/>
      <c r="E26" s="111"/>
      <c r="H26" s="111"/>
    </row>
    <row r="27" spans="1:8">
      <c r="A27" s="116"/>
      <c r="B27" s="116"/>
      <c r="C27" s="116"/>
      <c r="D27" s="111"/>
      <c r="E27" s="111"/>
      <c r="H27" s="111"/>
    </row>
    <row r="29" spans="1:8">
      <c r="A29" s="116"/>
      <c r="B29" s="116"/>
      <c r="C29" s="116"/>
      <c r="D29" s="2"/>
      <c r="E29" s="2"/>
      <c r="H29" s="111"/>
    </row>
    <row r="30" spans="1:8">
      <c r="D30" s="2"/>
      <c r="E30" s="2"/>
    </row>
    <row r="31" spans="1:8">
      <c r="A31" s="116"/>
      <c r="B31" s="116"/>
      <c r="C31" s="116"/>
      <c r="D31" s="111"/>
      <c r="E31" s="111"/>
      <c r="H31" s="111"/>
    </row>
    <row r="32" spans="1:8">
      <c r="D32" s="111"/>
      <c r="E32" s="111"/>
      <c r="H32" s="111"/>
    </row>
    <row r="34" spans="1:8">
      <c r="A34" s="116"/>
      <c r="B34" s="116"/>
      <c r="C34" s="116"/>
      <c r="D34" s="111"/>
      <c r="E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SUM(H17:H34)</f>
        <v>1000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433"/>
      <c r="D43" s="111"/>
      <c r="E43" s="111"/>
      <c r="F43" s="111"/>
      <c r="G43" s="111"/>
      <c r="H43" s="111"/>
    </row>
    <row r="44" spans="1:8"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433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4FB7A-1E88-4981-BD0D-C103BCAD221E}">
  <sheetPr codeName="Sheet592">
    <pageSetUpPr fitToPage="1"/>
  </sheetPr>
  <dimension ref="A1:H55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140625" style="111" customWidth="1"/>
    <col min="4" max="4" width="22.42578125" style="111" customWidth="1"/>
    <col min="5" max="5" width="0.570312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483" t="s">
        <v>6367</v>
      </c>
      <c r="H9" s="131"/>
    </row>
    <row r="10" spans="1:8">
      <c r="A10" s="111" t="s">
        <v>6239</v>
      </c>
      <c r="F10" s="112" t="s">
        <v>1180</v>
      </c>
      <c r="G10" s="487" t="s">
        <v>6366</v>
      </c>
      <c r="H10" s="131"/>
    </row>
    <row r="11" spans="1:8">
      <c r="A11" s="111" t="s">
        <v>6240</v>
      </c>
      <c r="F11" s="112" t="s">
        <v>1181</v>
      </c>
      <c r="G11" s="484" t="s">
        <v>2023</v>
      </c>
      <c r="H11" s="131"/>
    </row>
    <row r="12" spans="1:8">
      <c r="A12" s="111" t="s">
        <v>6241</v>
      </c>
      <c r="F12" s="112" t="s">
        <v>1182</v>
      </c>
      <c r="G12" s="486" t="s">
        <v>6368</v>
      </c>
      <c r="H12" s="131"/>
    </row>
    <row r="13" spans="1:8">
      <c r="A13" s="111" t="s">
        <v>6242</v>
      </c>
      <c r="G13" s="483" t="s">
        <v>5914</v>
      </c>
    </row>
    <row r="14" spans="1:8">
      <c r="A14" s="111" t="s">
        <v>6243</v>
      </c>
    </row>
    <row r="16" spans="1:8" s="15" customFormat="1" ht="20.100000000000001" customHeight="1">
      <c r="A16" s="18" t="s">
        <v>1193</v>
      </c>
      <c r="B16" s="479" t="s">
        <v>1098</v>
      </c>
      <c r="C16" s="479"/>
      <c r="D16" s="19" t="s">
        <v>14</v>
      </c>
      <c r="E16" s="19"/>
      <c r="F16" s="18"/>
      <c r="G16" s="17"/>
      <c r="H16" s="16" t="s">
        <v>13</v>
      </c>
    </row>
    <row r="18" spans="1:8">
      <c r="A18" s="116"/>
      <c r="B18" s="116"/>
      <c r="C18" s="116"/>
      <c r="D18" s="2" t="s">
        <v>6369</v>
      </c>
      <c r="E18" s="2"/>
    </row>
    <row r="19" spans="1:8">
      <c r="A19" s="116"/>
      <c r="B19" s="121"/>
      <c r="C19" s="121"/>
      <c r="D19" s="2"/>
    </row>
    <row r="20" spans="1:8">
      <c r="A20" s="485" t="s">
        <v>6370</v>
      </c>
      <c r="B20" s="485" t="s">
        <v>6371</v>
      </c>
      <c r="D20" s="111" t="s">
        <v>6372</v>
      </c>
      <c r="H20" s="111">
        <f>1429.65</f>
        <v>1429.65</v>
      </c>
    </row>
    <row r="21" spans="1:8">
      <c r="A21" s="116"/>
      <c r="B21" s="116"/>
      <c r="C21" s="116"/>
    </row>
    <row r="22" spans="1:8">
      <c r="A22" s="116"/>
      <c r="B22" s="121"/>
      <c r="C22" s="121"/>
    </row>
    <row r="24" spans="1:8">
      <c r="A24" s="116"/>
      <c r="B24" s="121"/>
    </row>
    <row r="25" spans="1:8">
      <c r="A25" s="116"/>
      <c r="B25" s="121"/>
      <c r="C25" s="121"/>
    </row>
    <row r="26" spans="1:8">
      <c r="A26" s="116"/>
      <c r="B26" s="121"/>
      <c r="C26" s="121"/>
      <c r="D26" s="2"/>
      <c r="E26" s="2"/>
    </row>
    <row r="27" spans="1:8">
      <c r="A27" s="116"/>
      <c r="B27" s="121"/>
      <c r="C27" s="121"/>
    </row>
    <row r="28" spans="1:8">
      <c r="A28" s="116"/>
      <c r="B28" s="121"/>
      <c r="C28" s="121"/>
    </row>
    <row r="34" spans="1:8">
      <c r="A34" s="116"/>
      <c r="B34" s="121"/>
      <c r="C34" s="121"/>
    </row>
    <row r="35" spans="1:8">
      <c r="A35" s="116"/>
      <c r="B35" s="121"/>
      <c r="C35" s="121"/>
      <c r="H35" s="122"/>
    </row>
    <row r="36" spans="1:8" ht="13.5" thickBot="1">
      <c r="B36" s="121"/>
      <c r="C36" s="121"/>
      <c r="H36" s="127">
        <f>SUM(H18:H34)</f>
        <v>1429.65</v>
      </c>
    </row>
    <row r="37" spans="1:8" ht="13.5" thickTop="1"/>
    <row r="38" spans="1:8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One Thousand Four Hundred Twenty-Nine and 65/100 -----------</v>
      </c>
      <c r="C38" s="202"/>
      <c r="D38" s="119"/>
      <c r="E38" s="119"/>
      <c r="F38" s="119"/>
      <c r="G38" s="119"/>
      <c r="H38" s="119"/>
    </row>
    <row r="39" spans="1:8">
      <c r="A39" s="120" t="s">
        <v>11</v>
      </c>
    </row>
    <row r="40" spans="1:8" ht="25.5">
      <c r="A40" s="126" t="s">
        <v>10</v>
      </c>
      <c r="F40" s="265" t="s">
        <v>2894</v>
      </c>
      <c r="G40" s="266"/>
      <c r="H40" s="267"/>
    </row>
    <row r="43" spans="1:8">
      <c r="A43" s="111" t="s">
        <v>52</v>
      </c>
      <c r="D43" s="121"/>
      <c r="E43" s="121"/>
    </row>
    <row r="44" spans="1:8">
      <c r="A44" s="122"/>
      <c r="B44" s="122"/>
      <c r="C44" s="433"/>
    </row>
    <row r="46" spans="1:8">
      <c r="A46" s="123" t="s">
        <v>8</v>
      </c>
      <c r="D46" s="123" t="s">
        <v>8</v>
      </c>
      <c r="F46" s="123" t="s">
        <v>7</v>
      </c>
      <c r="H46" s="124"/>
    </row>
    <row r="50" spans="1:8">
      <c r="A50" s="122" t="s">
        <v>51</v>
      </c>
      <c r="B50" s="122"/>
      <c r="C50" s="433"/>
      <c r="D50" s="122" t="s">
        <v>51</v>
      </c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F52" s="111" t="s">
        <v>2</v>
      </c>
    </row>
    <row r="54" spans="1:8">
      <c r="F54" s="2" t="s">
        <v>1</v>
      </c>
    </row>
    <row r="55" spans="1:8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98E0E-43DC-49BC-A7D6-5C0CBB19CA1B}">
  <sheetPr codeName="Sheet593"/>
  <dimension ref="A1:O53"/>
  <sheetViews>
    <sheetView view="pageBreakPreview" zoomScaleNormal="100" zoomScaleSheetLayoutView="100" workbookViewId="0">
      <selection activeCell="D20" sqref="D20:H27"/>
    </sheetView>
  </sheetViews>
  <sheetFormatPr defaultRowHeight="12.75"/>
  <cols>
    <col min="1" max="1" width="16" style="374" customWidth="1"/>
    <col min="2" max="2" width="13.42578125" style="374" customWidth="1"/>
    <col min="3" max="3" width="0.85546875" style="374" customWidth="1"/>
    <col min="4" max="4" width="21" style="374" customWidth="1"/>
    <col min="5" max="5" width="0.85546875" style="374" customWidth="1"/>
    <col min="6" max="6" width="12.42578125" style="374" customWidth="1"/>
    <col min="7" max="7" width="8.7109375" style="374" customWidth="1"/>
    <col min="8" max="8" width="13.28515625" style="374" customWidth="1"/>
    <col min="9" max="16384" width="9.140625" style="373"/>
  </cols>
  <sheetData>
    <row r="1" spans="1:14" ht="15">
      <c r="A1" s="534" t="s">
        <v>26</v>
      </c>
      <c r="B1" s="534"/>
      <c r="C1" s="534"/>
      <c r="D1" s="534"/>
      <c r="E1" s="534"/>
      <c r="F1" s="534"/>
      <c r="G1" s="534"/>
      <c r="H1" s="534"/>
    </row>
    <row r="2" spans="1:14">
      <c r="A2" s="535" t="s">
        <v>25</v>
      </c>
      <c r="B2" s="535"/>
      <c r="C2" s="535"/>
      <c r="D2" s="535"/>
      <c r="E2" s="535"/>
      <c r="F2" s="535"/>
      <c r="G2" s="535"/>
      <c r="H2" s="535"/>
    </row>
    <row r="3" spans="1:14">
      <c r="A3" s="535" t="s">
        <v>1480</v>
      </c>
      <c r="B3" s="535"/>
      <c r="C3" s="535"/>
      <c r="D3" s="535"/>
      <c r="E3" s="535"/>
      <c r="F3" s="535"/>
      <c r="G3" s="535"/>
      <c r="H3" s="535"/>
    </row>
    <row r="4" spans="1:14">
      <c r="A4" s="535" t="s">
        <v>1684</v>
      </c>
      <c r="B4" s="535"/>
      <c r="C4" s="535"/>
      <c r="D4" s="535"/>
      <c r="E4" s="535"/>
      <c r="F4" s="535"/>
      <c r="G4" s="535"/>
      <c r="H4" s="535"/>
    </row>
    <row r="8" spans="1:14">
      <c r="A8" s="374" t="s">
        <v>24</v>
      </c>
      <c r="F8" s="375" t="s">
        <v>23</v>
      </c>
    </row>
    <row r="9" spans="1:14">
      <c r="F9" s="376" t="s">
        <v>1110</v>
      </c>
      <c r="G9" s="132" t="s">
        <v>6269</v>
      </c>
    </row>
    <row r="10" spans="1:14">
      <c r="A10" s="131" t="s">
        <v>6271</v>
      </c>
      <c r="F10" s="376" t="s">
        <v>1685</v>
      </c>
      <c r="G10" s="132" t="s">
        <v>6268</v>
      </c>
    </row>
    <row r="11" spans="1:14">
      <c r="A11" s="131" t="s">
        <v>6272</v>
      </c>
      <c r="F11" s="376" t="s">
        <v>1163</v>
      </c>
      <c r="G11" s="132" t="s">
        <v>1094</v>
      </c>
    </row>
    <row r="12" spans="1:14">
      <c r="A12" s="131" t="s">
        <v>1879</v>
      </c>
      <c r="F12" s="376" t="s">
        <v>1188</v>
      </c>
      <c r="G12" s="111" t="s">
        <v>6270</v>
      </c>
    </row>
    <row r="13" spans="1:14">
      <c r="A13" s="131" t="s">
        <v>6273</v>
      </c>
      <c r="G13" s="111" t="s">
        <v>6182</v>
      </c>
    </row>
    <row r="15" spans="1:14">
      <c r="K15" s="379" t="s">
        <v>4530</v>
      </c>
      <c r="L15" s="377"/>
      <c r="M15" s="377"/>
      <c r="N15" s="377"/>
    </row>
    <row r="16" spans="1:14" s="385" customFormat="1" ht="20.100000000000001" customHeight="1">
      <c r="A16" s="380" t="s">
        <v>1140</v>
      </c>
      <c r="B16" s="381" t="s">
        <v>1098</v>
      </c>
      <c r="C16" s="381"/>
      <c r="D16" s="382" t="s">
        <v>14</v>
      </c>
      <c r="E16" s="382"/>
      <c r="F16" s="380"/>
      <c r="G16" s="383"/>
      <c r="H16" s="384" t="s">
        <v>13</v>
      </c>
      <c r="K16" s="379"/>
      <c r="L16" s="377"/>
      <c r="M16" s="377"/>
      <c r="N16" s="377"/>
    </row>
    <row r="17" spans="1:15">
      <c r="A17" s="377"/>
      <c r="B17" s="377"/>
      <c r="C17" s="377"/>
      <c r="D17" s="111"/>
      <c r="E17" s="111"/>
      <c r="F17" s="111"/>
      <c r="G17" s="111"/>
      <c r="H17" s="111"/>
      <c r="K17" s="377" t="s">
        <v>2719</v>
      </c>
      <c r="L17" s="377"/>
      <c r="M17" s="377"/>
      <c r="N17" s="377">
        <v>1350</v>
      </c>
    </row>
    <row r="18" spans="1:15">
      <c r="A18" s="386"/>
      <c r="B18" s="387"/>
      <c r="C18" s="387"/>
      <c r="D18" s="2" t="s">
        <v>6274</v>
      </c>
      <c r="E18" s="2"/>
      <c r="F18" s="111"/>
      <c r="G18" s="111"/>
      <c r="H18" s="111"/>
      <c r="K18" s="377" t="s">
        <v>1583</v>
      </c>
      <c r="L18" s="377"/>
      <c r="M18" s="377"/>
      <c r="N18" s="377">
        <v>600</v>
      </c>
    </row>
    <row r="19" spans="1:15">
      <c r="A19" s="386"/>
      <c r="B19" s="387"/>
      <c r="C19" s="387"/>
      <c r="D19" s="2"/>
      <c r="E19" s="2"/>
      <c r="F19" s="111"/>
      <c r="G19" s="111"/>
      <c r="H19" s="111"/>
      <c r="I19" s="377"/>
      <c r="K19" s="377" t="s">
        <v>4518</v>
      </c>
      <c r="L19" s="377"/>
      <c r="M19" s="377"/>
      <c r="N19" s="377">
        <v>150</v>
      </c>
    </row>
    <row r="20" spans="1:15">
      <c r="A20" s="112" t="s">
        <v>6275</v>
      </c>
      <c r="B20" s="387"/>
      <c r="C20" s="387"/>
      <c r="D20" s="111" t="s">
        <v>6276</v>
      </c>
      <c r="E20" s="111"/>
      <c r="F20" s="111"/>
      <c r="G20" s="111"/>
      <c r="H20" s="111">
        <v>3013.99</v>
      </c>
      <c r="I20" s="377"/>
      <c r="K20" s="377"/>
      <c r="L20" s="377"/>
      <c r="M20" s="377"/>
      <c r="N20" s="377"/>
    </row>
    <row r="21" spans="1:15">
      <c r="A21" s="143"/>
      <c r="B21" s="387"/>
      <c r="C21" s="387"/>
      <c r="D21" s="111" t="s">
        <v>6277</v>
      </c>
      <c r="E21" s="111"/>
      <c r="F21" s="111"/>
      <c r="G21" s="111"/>
      <c r="H21" s="111">
        <v>-1356.3</v>
      </c>
      <c r="I21" s="377"/>
      <c r="K21" s="377"/>
      <c r="L21" s="377"/>
      <c r="M21" s="377"/>
      <c r="N21" s="377"/>
    </row>
    <row r="22" spans="1:15">
      <c r="B22" s="388"/>
      <c r="C22" s="388"/>
      <c r="D22" s="314" t="s">
        <v>6278</v>
      </c>
      <c r="E22" s="111"/>
      <c r="F22" s="111"/>
      <c r="G22" s="111"/>
      <c r="H22" s="111">
        <v>626.29999999999995</v>
      </c>
      <c r="I22" s="377"/>
    </row>
    <row r="23" spans="1:15">
      <c r="A23" s="373"/>
      <c r="B23" s="377"/>
      <c r="C23" s="377"/>
      <c r="D23" s="111" t="s">
        <v>6279</v>
      </c>
      <c r="E23" s="110"/>
      <c r="H23" s="374">
        <v>137.04</v>
      </c>
      <c r="I23" s="377"/>
      <c r="K23" s="111" t="s">
        <v>2719</v>
      </c>
      <c r="L23" s="111"/>
      <c r="M23" s="111"/>
      <c r="N23" s="111">
        <v>810</v>
      </c>
      <c r="O23" s="377"/>
    </row>
    <row r="24" spans="1:15">
      <c r="A24" s="373"/>
      <c r="B24" s="377"/>
      <c r="C24" s="377"/>
      <c r="D24" s="111" t="s">
        <v>1613</v>
      </c>
      <c r="E24" s="111"/>
      <c r="F24" s="111"/>
      <c r="G24" s="111"/>
      <c r="H24" s="111">
        <v>10</v>
      </c>
      <c r="I24" s="377"/>
      <c r="K24" s="111" t="s">
        <v>1583</v>
      </c>
      <c r="L24" s="111"/>
      <c r="M24" s="111"/>
      <c r="N24" s="111">
        <v>300</v>
      </c>
      <c r="O24" s="377"/>
    </row>
    <row r="25" spans="1:15">
      <c r="A25" s="112"/>
      <c r="B25" s="378"/>
      <c r="C25" s="378"/>
      <c r="D25" s="111" t="s">
        <v>3276</v>
      </c>
      <c r="E25" s="111"/>
      <c r="F25" s="111"/>
      <c r="G25" s="111"/>
      <c r="H25" s="111">
        <v>0.02</v>
      </c>
      <c r="I25" s="377"/>
      <c r="K25" s="111" t="s">
        <v>4518</v>
      </c>
      <c r="L25" s="111"/>
      <c r="M25" s="111"/>
      <c r="N25" s="111">
        <v>100</v>
      </c>
      <c r="O25" s="377"/>
    </row>
    <row r="26" spans="1:15">
      <c r="A26" s="143"/>
      <c r="B26" s="377"/>
      <c r="C26" s="377"/>
      <c r="D26" s="111"/>
      <c r="E26" s="111"/>
      <c r="F26" s="377"/>
      <c r="G26" s="377"/>
      <c r="H26" s="377"/>
      <c r="I26" s="377"/>
      <c r="K26" s="111"/>
      <c r="L26" s="111"/>
      <c r="M26" s="111"/>
      <c r="N26" s="111"/>
      <c r="O26" s="377"/>
    </row>
    <row r="27" spans="1:15">
      <c r="A27" s="111"/>
      <c r="D27" s="111" t="s">
        <v>6280</v>
      </c>
      <c r="E27" s="111"/>
      <c r="K27" s="111"/>
      <c r="L27" s="111"/>
      <c r="M27" s="111"/>
      <c r="N27" s="111"/>
      <c r="O27" s="377"/>
    </row>
    <row r="28" spans="1:15">
      <c r="A28" s="143"/>
      <c r="D28" s="111"/>
      <c r="E28" s="2"/>
    </row>
    <row r="29" spans="1:15">
      <c r="A29" s="112"/>
      <c r="D29" s="2"/>
      <c r="E29" s="2"/>
    </row>
    <row r="30" spans="1:15">
      <c r="A30" s="112"/>
      <c r="D30" s="111"/>
      <c r="E30" s="111"/>
    </row>
    <row r="31" spans="1:15">
      <c r="A31" s="143"/>
      <c r="D31" s="111"/>
      <c r="E31" s="111"/>
    </row>
    <row r="32" spans="1:15">
      <c r="A32" s="120"/>
      <c r="D32" s="111"/>
      <c r="E32" s="111"/>
    </row>
    <row r="33" spans="1:8">
      <c r="A33" s="391"/>
      <c r="H33" s="373"/>
    </row>
    <row r="34" spans="1:8" ht="13.5" thickBot="1">
      <c r="A34" s="391"/>
      <c r="H34" s="392">
        <f>SUM(H20:H32)</f>
        <v>2431.0499999999997</v>
      </c>
    </row>
    <row r="35" spans="1:8" ht="13.5" thickTop="1">
      <c r="A35" s="391"/>
    </row>
    <row r="36" spans="1:8" ht="21.75" customHeight="1">
      <c r="A36" s="393" t="s">
        <v>1686</v>
      </c>
      <c r="B36" s="394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Two Thousand Four Hundred Thirty-One and 5/100 -----------</v>
      </c>
      <c r="C36" s="394"/>
      <c r="D36" s="395"/>
      <c r="E36" s="395"/>
      <c r="F36" s="395"/>
      <c r="G36" s="395"/>
      <c r="H36" s="395"/>
    </row>
    <row r="37" spans="1:8">
      <c r="A37" s="396"/>
    </row>
    <row r="38" spans="1:8" ht="25.5">
      <c r="A38" s="374" t="s">
        <v>10</v>
      </c>
      <c r="F38" s="397" t="s">
        <v>2894</v>
      </c>
      <c r="G38" s="398"/>
      <c r="H38" s="399"/>
    </row>
    <row r="39" spans="1:8">
      <c r="A39" s="400"/>
    </row>
    <row r="40" spans="1:8" s="407" customFormat="1" ht="17.100000000000001" customHeight="1">
      <c r="A40" s="374"/>
      <c r="B40" s="374"/>
      <c r="C40" s="374"/>
      <c r="D40" s="374"/>
      <c r="E40" s="374"/>
      <c r="F40" s="374"/>
      <c r="G40" s="374"/>
      <c r="H40" s="374"/>
    </row>
    <row r="41" spans="1:8">
      <c r="A41" s="374" t="s">
        <v>51</v>
      </c>
      <c r="D41" s="401"/>
      <c r="E41" s="401"/>
    </row>
    <row r="42" spans="1:8">
      <c r="A42" s="402"/>
      <c r="B42" s="402"/>
      <c r="C42" s="452"/>
    </row>
    <row r="43" spans="1:8">
      <c r="F43" s="403" t="s">
        <v>7</v>
      </c>
    </row>
    <row r="44" spans="1:8">
      <c r="A44" s="374" t="s">
        <v>8</v>
      </c>
      <c r="D44" s="374" t="s">
        <v>8</v>
      </c>
      <c r="H44" s="404"/>
    </row>
    <row r="48" spans="1:8">
      <c r="A48" s="402" t="s">
        <v>51</v>
      </c>
      <c r="B48" s="402"/>
      <c r="C48" s="452"/>
      <c r="D48" s="402" t="s">
        <v>51</v>
      </c>
      <c r="F48" s="402"/>
      <c r="G48" s="402"/>
      <c r="H48" s="402"/>
    </row>
    <row r="49" spans="1:8">
      <c r="A49" s="405" t="s">
        <v>2948</v>
      </c>
      <c r="B49" s="406"/>
      <c r="C49" s="406"/>
      <c r="D49" s="145" t="s">
        <v>103</v>
      </c>
      <c r="E49" s="400"/>
      <c r="F49" s="400" t="s">
        <v>3</v>
      </c>
      <c r="G49" s="400"/>
      <c r="H49" s="400"/>
    </row>
    <row r="50" spans="1:8">
      <c r="A50" s="405"/>
      <c r="D50" s="405"/>
      <c r="F50" s="374" t="s">
        <v>2</v>
      </c>
    </row>
    <row r="52" spans="1:8">
      <c r="F52" s="408" t="s">
        <v>1</v>
      </c>
    </row>
    <row r="53" spans="1:8">
      <c r="F53" s="408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96">
    <pageSetUpPr fitToPage="1"/>
  </sheetPr>
  <dimension ref="A1:F56"/>
  <sheetViews>
    <sheetView topLeftCell="A7" zoomScaleNormal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31" t="s">
        <v>4736</v>
      </c>
      <c r="F9" s="111"/>
    </row>
    <row r="10" spans="1:6">
      <c r="A10" s="111" t="s">
        <v>3546</v>
      </c>
      <c r="B10" s="111"/>
      <c r="C10" s="111"/>
      <c r="D10" s="112" t="s">
        <v>1162</v>
      </c>
      <c r="E10" s="143" t="s">
        <v>4727</v>
      </c>
      <c r="F10" s="111"/>
    </row>
    <row r="11" spans="1:6">
      <c r="A11" s="111" t="s">
        <v>3548</v>
      </c>
      <c r="B11" s="111"/>
      <c r="C11" s="111"/>
      <c r="D11" s="112" t="s">
        <v>1163</v>
      </c>
      <c r="E11" s="132" t="s">
        <v>1094</v>
      </c>
      <c r="F11" s="111"/>
    </row>
    <row r="12" spans="1:6">
      <c r="A12" s="111" t="s">
        <v>3549</v>
      </c>
      <c r="B12" s="111"/>
      <c r="C12" s="111"/>
      <c r="D12" s="112" t="s">
        <v>1135</v>
      </c>
      <c r="E12" s="132" t="s">
        <v>4737</v>
      </c>
      <c r="F12" s="111"/>
    </row>
    <row r="13" spans="1:6">
      <c r="A13" s="111" t="s">
        <v>3550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2" t="s">
        <v>3551</v>
      </c>
      <c r="D18" s="111"/>
      <c r="E18" s="111"/>
      <c r="F18" s="111"/>
    </row>
    <row r="19" spans="1:6">
      <c r="A19" s="116"/>
      <c r="B19" s="116"/>
      <c r="C19" s="111"/>
      <c r="D19" s="111"/>
      <c r="E19" s="111"/>
      <c r="F19" s="111"/>
    </row>
    <row r="20" spans="1:6">
      <c r="A20" s="116" t="s">
        <v>4738</v>
      </c>
      <c r="B20" s="116" t="s">
        <v>4739</v>
      </c>
      <c r="C20" s="111" t="s">
        <v>4740</v>
      </c>
      <c r="D20" s="111"/>
      <c r="E20" s="111"/>
      <c r="F20" s="111">
        <v>300</v>
      </c>
    </row>
    <row r="21" spans="1:6">
      <c r="A21" s="111"/>
      <c r="B21" s="111"/>
      <c r="C21" s="111"/>
      <c r="D21" s="111"/>
      <c r="E21" s="111"/>
      <c r="F21" s="111"/>
    </row>
    <row r="22" spans="1:6">
      <c r="A22" s="116"/>
      <c r="B22" s="116"/>
      <c r="C22" s="111" t="s">
        <v>1814</v>
      </c>
      <c r="F22" s="111">
        <f>F20*6%</f>
        <v>18</v>
      </c>
    </row>
    <row r="23" spans="1:6">
      <c r="B23" s="116"/>
    </row>
    <row r="24" spans="1:6">
      <c r="B24" s="116"/>
    </row>
    <row r="25" spans="1:6">
      <c r="B25" s="116"/>
    </row>
    <row r="26" spans="1:6">
      <c r="A26" s="116"/>
      <c r="B26" s="116"/>
      <c r="C26" s="111"/>
      <c r="F26" s="111"/>
    </row>
    <row r="27" spans="1:6">
      <c r="A27" s="116"/>
      <c r="B27" s="116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6"/>
      <c r="B29" s="116"/>
      <c r="C29" s="111"/>
      <c r="D29" s="111"/>
      <c r="E29" s="111"/>
      <c r="F29" s="111"/>
    </row>
    <row r="30" spans="1:6">
      <c r="B30" s="116"/>
    </row>
    <row r="31" spans="1:6">
      <c r="A31" s="116"/>
      <c r="B31" s="116"/>
      <c r="C31" s="111"/>
      <c r="F31" s="111"/>
    </row>
    <row r="34" spans="1:6">
      <c r="A34" s="111"/>
      <c r="B34" s="111"/>
      <c r="C34" s="111"/>
      <c r="D34" s="111"/>
      <c r="E34" s="111"/>
    </row>
    <row r="35" spans="1:6" ht="13.5" thickBot="1">
      <c r="A35" s="111"/>
      <c r="B35" s="111"/>
      <c r="C35" s="111"/>
      <c r="D35" s="111"/>
      <c r="E35" s="111"/>
      <c r="F35" s="117">
        <f>SUM(F20:F34)</f>
        <v>318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Three Hundred Eighteen and NO/100 -----------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B44" s="111"/>
      <c r="C44" s="111"/>
      <c r="D44" s="111"/>
      <c r="E44" s="111"/>
      <c r="F44" s="111"/>
    </row>
    <row r="45" spans="1:6">
      <c r="A45" s="123" t="s">
        <v>8</v>
      </c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0F1C-1DED-4E41-99DE-F0FE9A75B359}">
  <sheetPr codeName="Sheet594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4.42578125" style="111" customWidth="1"/>
    <col min="3" max="3" width="0.85546875" style="111" customWidth="1"/>
    <col min="4" max="4" width="22.42578125" style="111" customWidth="1"/>
    <col min="5" max="5" width="1.5703125" style="111" customWidth="1"/>
    <col min="6" max="6" width="13.140625" style="111" customWidth="1"/>
    <col min="7" max="7" width="8.28515625" style="111" customWidth="1"/>
    <col min="8" max="8" width="13.710937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32" t="s">
        <v>6281</v>
      </c>
    </row>
    <row r="10" spans="1:8">
      <c r="A10" s="111" t="s">
        <v>6282</v>
      </c>
      <c r="F10" s="112" t="s">
        <v>1180</v>
      </c>
      <c r="G10" s="132" t="s">
        <v>6185</v>
      </c>
    </row>
    <row r="11" spans="1:8">
      <c r="A11" s="111" t="s">
        <v>6283</v>
      </c>
      <c r="F11" s="112" t="s">
        <v>1181</v>
      </c>
      <c r="G11" s="132" t="s">
        <v>1094</v>
      </c>
    </row>
    <row r="12" spans="1:8">
      <c r="A12" s="111" t="s">
        <v>6284</v>
      </c>
      <c r="F12" s="112" t="s">
        <v>1182</v>
      </c>
      <c r="G12" s="111" t="s">
        <v>1270</v>
      </c>
    </row>
    <row r="13" spans="1:8">
      <c r="A13" s="111" t="s">
        <v>6285</v>
      </c>
    </row>
    <row r="14" spans="1:8">
      <c r="A14" s="111" t="s">
        <v>6286</v>
      </c>
    </row>
    <row r="16" spans="1:8" s="15" customFormat="1" ht="20.100000000000001" customHeight="1">
      <c r="A16" s="18" t="s">
        <v>1193</v>
      </c>
      <c r="B16" s="481" t="s">
        <v>1098</v>
      </c>
      <c r="C16" s="481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6287</v>
      </c>
      <c r="E18" s="2"/>
      <c r="H18" s="149"/>
    </row>
    <row r="19" spans="1:8">
      <c r="D19" s="2" t="s">
        <v>6288</v>
      </c>
      <c r="E19" s="2"/>
    </row>
    <row r="20" spans="1:8">
      <c r="A20" s="161"/>
      <c r="B20" s="241"/>
      <c r="C20" s="335"/>
      <c r="H20" s="149"/>
    </row>
    <row r="21" spans="1:8">
      <c r="A21" s="161">
        <v>43770</v>
      </c>
      <c r="B21" s="155"/>
      <c r="C21" s="157"/>
      <c r="D21" s="111" t="s">
        <v>6289</v>
      </c>
      <c r="H21" s="111">
        <f>4207.74*4.1897</f>
        <v>17629.168278000001</v>
      </c>
    </row>
    <row r="22" spans="1:8">
      <c r="D22" s="111" t="s">
        <v>6290</v>
      </c>
      <c r="E22" s="2"/>
    </row>
    <row r="23" spans="1:8">
      <c r="D23" s="111" t="s">
        <v>6291</v>
      </c>
      <c r="E23" s="2"/>
    </row>
    <row r="24" spans="1:8">
      <c r="D24" s="2"/>
      <c r="E24" s="2"/>
    </row>
    <row r="25" spans="1:8">
      <c r="A25" s="116"/>
      <c r="B25" s="116"/>
      <c r="C25" s="116"/>
      <c r="D25" s="111" t="s">
        <v>6292</v>
      </c>
    </row>
    <row r="26" spans="1:8">
      <c r="A26" s="161"/>
      <c r="B26" s="116"/>
      <c r="C26" s="116"/>
    </row>
    <row r="27" spans="1:8">
      <c r="A27" s="161"/>
      <c r="B27" s="116"/>
      <c r="C27" s="116"/>
      <c r="D27" s="111" t="s">
        <v>1697</v>
      </c>
      <c r="E27" s="2"/>
      <c r="H27" s="111">
        <v>30</v>
      </c>
    </row>
    <row r="29" spans="1:8">
      <c r="A29" s="116"/>
      <c r="B29" s="116"/>
      <c r="C29" s="116"/>
    </row>
    <row r="30" spans="1:8">
      <c r="A30" s="148"/>
    </row>
    <row r="33" spans="1:8">
      <c r="D33" s="120"/>
      <c r="E33" s="120"/>
    </row>
    <row r="35" spans="1:8" ht="13.5" thickBot="1">
      <c r="H35" s="127">
        <f>SUM(H20:H34)</f>
        <v>17659.168278000001</v>
      </c>
    </row>
    <row r="36" spans="1:8" ht="13.5" thickTop="1"/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Seventeen Thousand Six Hundred Fifty-Nine and 17/100 -----------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23" t="s">
        <v>10</v>
      </c>
      <c r="F39" s="265" t="s">
        <v>2894</v>
      </c>
      <c r="G39" s="266"/>
      <c r="H39" s="267"/>
    </row>
    <row r="41" spans="1:8">
      <c r="A41" s="126"/>
    </row>
    <row r="42" spans="1:8">
      <c r="A42" s="111" t="s">
        <v>52</v>
      </c>
      <c r="D42" s="121"/>
      <c r="E42" s="121"/>
    </row>
    <row r="43" spans="1:8">
      <c r="A43" s="122"/>
      <c r="B43" s="122"/>
    </row>
    <row r="45" spans="1:8">
      <c r="A45" s="123" t="s">
        <v>8</v>
      </c>
      <c r="D45" s="123" t="s">
        <v>8</v>
      </c>
      <c r="F45" s="123" t="s">
        <v>7</v>
      </c>
      <c r="H45" s="124"/>
    </row>
    <row r="49" spans="1:8">
      <c r="A49" s="277"/>
      <c r="B49" s="122"/>
      <c r="D49" s="277"/>
      <c r="F49" s="122"/>
      <c r="G49" s="122"/>
      <c r="H49" s="122"/>
    </row>
    <row r="50" spans="1:8" s="126" customFormat="1" ht="17.100000000000001" customHeight="1">
      <c r="A50" s="111" t="s">
        <v>2948</v>
      </c>
      <c r="B50" s="125"/>
      <c r="C50" s="125"/>
      <c r="D50" s="111" t="s">
        <v>103</v>
      </c>
      <c r="F50" s="126" t="s">
        <v>3</v>
      </c>
    </row>
    <row r="51" spans="1:8">
      <c r="F51" s="111" t="s">
        <v>2</v>
      </c>
    </row>
    <row r="53" spans="1:8">
      <c r="F53" s="2" t="s">
        <v>1</v>
      </c>
    </row>
    <row r="54" spans="1:8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5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DB5D-2298-4AF8-A365-CB2CA12592EE}">
  <sheetPr codeName="Sheet595"/>
  <dimension ref="A1:H55"/>
  <sheetViews>
    <sheetView view="pageBreakPreview" topLeftCell="A7" zoomScale="115" zoomScaleNormal="100" zoomScaleSheetLayoutView="115" workbookViewId="0">
      <selection activeCell="G9" sqref="G9:G13"/>
    </sheetView>
  </sheetViews>
  <sheetFormatPr defaultRowHeight="12.75"/>
  <cols>
    <col min="1" max="1" width="15.42578125" style="488" customWidth="1"/>
    <col min="2" max="2" width="15" style="488" customWidth="1"/>
    <col min="3" max="3" width="0.85546875" style="488" customWidth="1"/>
    <col min="4" max="4" width="21" style="488" customWidth="1"/>
    <col min="5" max="5" width="0.85546875" style="488" customWidth="1"/>
    <col min="6" max="6" width="12.28515625" style="488" customWidth="1"/>
    <col min="7" max="7" width="9.28515625" style="488" customWidth="1"/>
    <col min="8" max="8" width="13.28515625" style="488" customWidth="1"/>
    <col min="9" max="16384" width="9.140625" style="488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488" t="s">
        <v>24</v>
      </c>
      <c r="F8" s="87" t="s">
        <v>23</v>
      </c>
    </row>
    <row r="9" spans="1:8">
      <c r="F9" s="489" t="s">
        <v>1716</v>
      </c>
      <c r="G9" s="483" t="s">
        <v>6328</v>
      </c>
    </row>
    <row r="10" spans="1:8">
      <c r="A10" s="488" t="s">
        <v>6330</v>
      </c>
      <c r="F10" s="489" t="s">
        <v>1162</v>
      </c>
      <c r="G10" s="483" t="s">
        <v>6310</v>
      </c>
    </row>
    <row r="11" spans="1:8">
      <c r="A11" s="488" t="s">
        <v>6331</v>
      </c>
      <c r="F11" s="489" t="s">
        <v>1163</v>
      </c>
      <c r="G11" s="483" t="s">
        <v>1094</v>
      </c>
    </row>
    <row r="12" spans="1:8">
      <c r="A12" s="488" t="s">
        <v>6332</v>
      </c>
      <c r="F12" s="489" t="s">
        <v>1096</v>
      </c>
      <c r="G12" s="483" t="s">
        <v>6329</v>
      </c>
    </row>
    <row r="13" spans="1:8">
      <c r="G13" s="488" t="s">
        <v>6311</v>
      </c>
    </row>
    <row r="16" spans="1:8" s="95" customFormat="1" ht="20.100000000000001" customHeight="1">
      <c r="A16" s="90" t="s">
        <v>1113</v>
      </c>
      <c r="B16" s="91" t="s">
        <v>1114</v>
      </c>
      <c r="C16" s="90"/>
      <c r="D16" s="92" t="s">
        <v>14</v>
      </c>
      <c r="E16" s="92"/>
      <c r="F16" s="90"/>
      <c r="G16" s="93"/>
      <c r="H16" s="94" t="s">
        <v>13</v>
      </c>
    </row>
    <row r="18" spans="1:8">
      <c r="A18" s="492" t="s">
        <v>6303</v>
      </c>
      <c r="B18" s="141"/>
      <c r="D18" s="490" t="s">
        <v>6333</v>
      </c>
      <c r="E18" s="95"/>
      <c r="H18" s="488">
        <v>280</v>
      </c>
    </row>
    <row r="19" spans="1:8">
      <c r="A19" s="492"/>
      <c r="B19" s="141"/>
      <c r="C19" s="141"/>
      <c r="D19" s="490" t="s">
        <v>6334</v>
      </c>
      <c r="E19" s="95"/>
    </row>
    <row r="20" spans="1:8">
      <c r="A20" s="492"/>
      <c r="B20" s="334"/>
      <c r="C20" s="492"/>
      <c r="D20" s="483"/>
      <c r="E20" s="483"/>
    </row>
    <row r="21" spans="1:8">
      <c r="D21" s="486"/>
      <c r="E21" s="483"/>
    </row>
    <row r="22" spans="1:8">
      <c r="D22" s="483"/>
      <c r="E22" s="483"/>
    </row>
    <row r="23" spans="1:8">
      <c r="A23" s="492"/>
      <c r="B23" s="141"/>
      <c r="C23" s="141"/>
      <c r="D23" s="483"/>
      <c r="E23" s="483"/>
    </row>
    <row r="24" spans="1:8">
      <c r="A24" s="492"/>
      <c r="B24" s="492"/>
      <c r="C24" s="492"/>
      <c r="D24" s="483"/>
      <c r="E24" s="483"/>
    </row>
    <row r="25" spans="1:8">
      <c r="A25" s="492"/>
      <c r="B25" s="492"/>
      <c r="C25" s="492"/>
      <c r="D25" s="483"/>
      <c r="E25" s="483"/>
    </row>
    <row r="26" spans="1:8">
      <c r="D26" s="483"/>
      <c r="E26" s="483"/>
    </row>
    <row r="27" spans="1:8">
      <c r="A27" s="492"/>
      <c r="B27" s="141"/>
      <c r="C27" s="141"/>
      <c r="D27" s="95"/>
      <c r="E27" s="95"/>
    </row>
    <row r="28" spans="1:8">
      <c r="A28" s="492"/>
      <c r="B28" s="492"/>
      <c r="C28" s="492"/>
    </row>
    <row r="29" spans="1:8">
      <c r="A29" s="492"/>
      <c r="B29" s="492"/>
      <c r="C29" s="492"/>
    </row>
    <row r="30" spans="1:8">
      <c r="A30" s="492"/>
      <c r="B30" s="492"/>
      <c r="C30" s="492"/>
      <c r="D30" s="95"/>
      <c r="E30" s="95"/>
    </row>
    <row r="31" spans="1:8">
      <c r="A31" s="492"/>
      <c r="B31" s="492"/>
      <c r="C31" s="492"/>
      <c r="D31" s="95"/>
      <c r="E31" s="95"/>
    </row>
    <row r="33" spans="1:8">
      <c r="A33" s="492"/>
      <c r="B33" s="492"/>
      <c r="C33" s="492"/>
    </row>
    <row r="34" spans="1:8">
      <c r="B34" s="140"/>
      <c r="C34" s="140"/>
    </row>
    <row r="36" spans="1:8" ht="13.5" thickBot="1">
      <c r="H36" s="164">
        <f>SUM(H18:H35)</f>
        <v>280</v>
      </c>
    </row>
    <row r="37" spans="1:8" ht="13.5" thickTop="1"/>
    <row r="38" spans="1:8" ht="20.100000000000001" customHeight="1">
      <c r="A38" s="13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Two Hundred Eighty and NO/100 -----------</v>
      </c>
      <c r="C38" s="202"/>
      <c r="D38" s="139"/>
      <c r="E38" s="139"/>
      <c r="F38" s="139"/>
      <c r="G38" s="139"/>
      <c r="H38" s="262"/>
    </row>
    <row r="39" spans="1:8">
      <c r="A39" s="140"/>
    </row>
    <row r="40" spans="1:8" ht="25.5">
      <c r="A40" s="493" t="s">
        <v>10</v>
      </c>
      <c r="F40" s="265" t="s">
        <v>2894</v>
      </c>
      <c r="G40" s="266"/>
      <c r="H40" s="267"/>
    </row>
    <row r="41" spans="1:8">
      <c r="A41" s="493"/>
    </row>
    <row r="42" spans="1:8">
      <c r="A42" s="490"/>
    </row>
    <row r="43" spans="1:8">
      <c r="A43" s="493"/>
      <c r="D43" s="141"/>
      <c r="E43" s="141"/>
    </row>
    <row r="44" spans="1:8">
      <c r="A44" s="248"/>
      <c r="B44" s="142"/>
      <c r="C44" s="445"/>
    </row>
    <row r="45" spans="1:8">
      <c r="A45" s="493"/>
    </row>
    <row r="46" spans="1:8">
      <c r="A46" s="493" t="s">
        <v>8</v>
      </c>
      <c r="D46" s="493" t="s">
        <v>8</v>
      </c>
      <c r="F46" s="493" t="s">
        <v>7</v>
      </c>
      <c r="H46" s="144"/>
    </row>
    <row r="47" spans="1:8">
      <c r="A47" s="493"/>
      <c r="D47" s="493"/>
    </row>
    <row r="48" spans="1:8">
      <c r="A48" s="493"/>
      <c r="D48" s="493"/>
    </row>
    <row r="49" spans="1:8">
      <c r="A49" s="493"/>
      <c r="D49" s="493"/>
    </row>
    <row r="50" spans="1:8">
      <c r="A50" s="248"/>
      <c r="B50" s="142"/>
      <c r="C50" s="445"/>
      <c r="D50" s="248"/>
      <c r="F50" s="142"/>
      <c r="G50" s="142"/>
      <c r="H50" s="142"/>
    </row>
    <row r="51" spans="1:8" s="490" customFormat="1" ht="17.100000000000001" customHeight="1">
      <c r="A51" s="494" t="s">
        <v>2948</v>
      </c>
      <c r="B51" s="146"/>
      <c r="C51" s="146"/>
      <c r="D51" s="494" t="s">
        <v>103</v>
      </c>
      <c r="F51" s="490" t="s">
        <v>3</v>
      </c>
    </row>
    <row r="52" spans="1:8">
      <c r="A52" s="493"/>
      <c r="F52" s="488" t="s">
        <v>2</v>
      </c>
    </row>
    <row r="53" spans="1:8">
      <c r="A53" s="494"/>
    </row>
    <row r="54" spans="1:8">
      <c r="F54" s="491" t="s">
        <v>1</v>
      </c>
    </row>
    <row r="55" spans="1:8">
      <c r="F55" s="491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5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E9DD2-E5AB-483E-ABE1-645ECD860B3F}">
  <sheetPr codeName="Sheet601"/>
  <dimension ref="A1:O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140625" style="86" customWidth="1"/>
    <col min="2" max="2" width="13.42578125" style="86" customWidth="1"/>
    <col min="3" max="3" width="1.140625" style="86" customWidth="1"/>
    <col min="4" max="4" width="23" style="86" customWidth="1"/>
    <col min="5" max="5" width="2" style="86" customWidth="1"/>
    <col min="6" max="6" width="13.85546875" style="86" customWidth="1"/>
    <col min="7" max="7" width="9" style="86" customWidth="1"/>
    <col min="8" max="8" width="12.85546875" style="86" customWidth="1"/>
    <col min="9" max="16384" width="9.140625" style="86"/>
  </cols>
  <sheetData>
    <row r="1" spans="1:15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5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5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5">
      <c r="A4" s="532" t="s">
        <v>1481</v>
      </c>
      <c r="B4" s="532"/>
      <c r="C4" s="532"/>
      <c r="D4" s="532"/>
      <c r="E4" s="532"/>
      <c r="F4" s="532"/>
      <c r="G4" s="532"/>
      <c r="H4" s="532"/>
    </row>
    <row r="8" spans="1:15">
      <c r="A8" s="488" t="s">
        <v>24</v>
      </c>
      <c r="B8" s="488"/>
      <c r="C8" s="488"/>
      <c r="D8" s="488"/>
      <c r="E8" s="488"/>
      <c r="F8" s="87" t="s">
        <v>23</v>
      </c>
      <c r="G8" s="488"/>
      <c r="H8" s="488"/>
      <c r="J8" s="86" t="s">
        <v>6353</v>
      </c>
      <c r="K8" s="86">
        <v>43817</v>
      </c>
      <c r="L8" s="86" t="s">
        <v>1270</v>
      </c>
      <c r="M8" s="86" t="s">
        <v>1270</v>
      </c>
    </row>
    <row r="9" spans="1:15">
      <c r="A9" s="488"/>
      <c r="B9" s="488"/>
      <c r="C9" s="488"/>
      <c r="D9" s="488"/>
      <c r="E9" s="488"/>
      <c r="F9" s="489" t="s">
        <v>1127</v>
      </c>
      <c r="G9" s="488" t="s">
        <v>6357</v>
      </c>
      <c r="H9" s="488"/>
    </row>
    <row r="10" spans="1:15">
      <c r="A10" s="488" t="s">
        <v>6358</v>
      </c>
      <c r="B10" s="488"/>
      <c r="C10" s="488"/>
      <c r="D10" s="488"/>
      <c r="E10" s="488"/>
      <c r="F10" s="489" t="s">
        <v>1162</v>
      </c>
      <c r="G10" s="489" t="s">
        <v>6293</v>
      </c>
      <c r="H10" s="488"/>
    </row>
    <row r="11" spans="1:15">
      <c r="A11" s="488" t="s">
        <v>6359</v>
      </c>
      <c r="B11" s="488"/>
      <c r="C11" s="488"/>
      <c r="D11" s="488"/>
      <c r="E11" s="488"/>
      <c r="F11" s="489" t="s">
        <v>1163</v>
      </c>
      <c r="G11" s="489" t="s">
        <v>2023</v>
      </c>
      <c r="H11" s="488"/>
    </row>
    <row r="12" spans="1:15">
      <c r="A12" s="488"/>
      <c r="B12" s="488"/>
      <c r="C12" s="488"/>
      <c r="D12" s="488"/>
      <c r="E12" s="488"/>
      <c r="F12" s="489" t="s">
        <v>1135</v>
      </c>
      <c r="G12" s="489" t="s">
        <v>1270</v>
      </c>
      <c r="H12" s="488"/>
      <c r="K12" s="140" t="s">
        <v>6354</v>
      </c>
      <c r="L12" s="140"/>
      <c r="M12" s="488"/>
      <c r="N12" s="488"/>
      <c r="O12" s="488">
        <v>14019.6</v>
      </c>
    </row>
    <row r="13" spans="1:15">
      <c r="A13" s="488"/>
      <c r="B13" s="488"/>
      <c r="C13" s="488"/>
      <c r="D13" s="488"/>
      <c r="E13" s="488"/>
      <c r="F13" s="488"/>
      <c r="G13" s="488"/>
      <c r="H13" s="488"/>
      <c r="K13" s="488" t="s">
        <v>6355</v>
      </c>
      <c r="L13" s="488"/>
      <c r="O13" s="488">
        <f>84967.32/2</f>
        <v>42483.66</v>
      </c>
    </row>
    <row r="14" spans="1:15">
      <c r="A14" s="488"/>
      <c r="B14" s="488"/>
      <c r="C14" s="488"/>
      <c r="D14" s="488"/>
      <c r="E14" s="488"/>
      <c r="F14" s="488"/>
      <c r="G14" s="488"/>
      <c r="H14" s="488"/>
      <c r="K14" s="488" t="s">
        <v>6356</v>
      </c>
      <c r="L14" s="488"/>
      <c r="M14" s="488"/>
      <c r="N14" s="488"/>
      <c r="O14" s="488">
        <f>9150.33/2</f>
        <v>4575.165</v>
      </c>
    </row>
    <row r="15" spans="1:15">
      <c r="A15" s="488"/>
      <c r="B15" s="488"/>
      <c r="C15" s="488"/>
      <c r="D15" s="488"/>
      <c r="E15" s="488"/>
      <c r="F15" s="488"/>
      <c r="G15" s="488"/>
      <c r="H15" s="488"/>
      <c r="K15" s="488" t="s">
        <v>3543</v>
      </c>
      <c r="L15" s="488"/>
      <c r="O15" s="488">
        <f>8550.98/2</f>
        <v>4275.49</v>
      </c>
    </row>
    <row r="16" spans="1:15" s="95" customFormat="1" ht="20.100000000000001" customHeight="1">
      <c r="A16" s="90" t="s">
        <v>1122</v>
      </c>
      <c r="B16" s="90" t="s">
        <v>1132</v>
      </c>
      <c r="C16" s="90"/>
      <c r="D16" s="92" t="s">
        <v>14</v>
      </c>
      <c r="E16" s="92"/>
      <c r="F16" s="90"/>
      <c r="G16" s="93"/>
      <c r="H16" s="94" t="s">
        <v>13</v>
      </c>
    </row>
    <row r="17" spans="1:10">
      <c r="A17" s="488"/>
      <c r="B17" s="488"/>
      <c r="C17" s="488"/>
      <c r="D17" s="488"/>
      <c r="E17" s="488"/>
      <c r="F17" s="488"/>
      <c r="G17" s="488"/>
      <c r="H17" s="488"/>
    </row>
    <row r="18" spans="1:10">
      <c r="A18" s="162"/>
      <c r="B18" s="488"/>
      <c r="C18" s="488"/>
      <c r="D18" s="491" t="s">
        <v>6360</v>
      </c>
      <c r="E18" s="491"/>
      <c r="F18" s="488"/>
      <c r="G18" s="488"/>
      <c r="H18" s="488"/>
    </row>
    <row r="19" spans="1:10">
      <c r="A19" s="488"/>
      <c r="B19" s="488"/>
      <c r="C19" s="488"/>
      <c r="D19" s="491"/>
      <c r="E19" s="491"/>
      <c r="F19" s="488"/>
      <c r="G19" s="488"/>
      <c r="H19" s="488"/>
    </row>
    <row r="20" spans="1:10">
      <c r="A20" s="165" t="s">
        <v>6341</v>
      </c>
      <c r="B20" s="492" t="s">
        <v>6361</v>
      </c>
      <c r="C20" s="488"/>
      <c r="D20" s="140" t="s">
        <v>6362</v>
      </c>
      <c r="E20" s="140"/>
      <c r="F20" s="488"/>
      <c r="G20" s="488"/>
      <c r="H20" s="488">
        <f>10000*4.1402</f>
        <v>41402</v>
      </c>
    </row>
    <row r="21" spans="1:10">
      <c r="A21" s="246"/>
      <c r="B21" s="488"/>
      <c r="C21" s="488"/>
      <c r="D21" s="488" t="s">
        <v>6363</v>
      </c>
      <c r="E21" s="488"/>
      <c r="H21" s="488"/>
    </row>
    <row r="22" spans="1:10">
      <c r="A22" s="162"/>
      <c r="B22" s="245"/>
      <c r="C22" s="245"/>
      <c r="D22" s="488"/>
      <c r="E22" s="488"/>
      <c r="F22" s="488"/>
      <c r="G22" s="488"/>
      <c r="H22" s="488"/>
    </row>
    <row r="23" spans="1:10">
      <c r="D23" s="488" t="s">
        <v>6364</v>
      </c>
      <c r="E23" s="488"/>
      <c r="H23" s="488"/>
    </row>
    <row r="24" spans="1:10">
      <c r="A24" s="244"/>
      <c r="B24" s="488"/>
      <c r="C24" s="488"/>
      <c r="D24" s="488"/>
      <c r="H24" s="488"/>
    </row>
    <row r="25" spans="1:10">
      <c r="A25" s="246"/>
      <c r="B25" s="488"/>
      <c r="C25" s="488"/>
      <c r="D25" s="488" t="s">
        <v>1697</v>
      </c>
      <c r="E25" s="488"/>
      <c r="H25" s="488">
        <v>30</v>
      </c>
      <c r="J25" s="333">
        <f>41402/10000</f>
        <v>4.1402000000000001</v>
      </c>
    </row>
    <row r="26" spans="1:10">
      <c r="A26" s="162"/>
    </row>
    <row r="27" spans="1:10">
      <c r="B27" s="488"/>
      <c r="C27" s="488"/>
      <c r="D27" s="488"/>
      <c r="E27" s="488"/>
      <c r="H27" s="488"/>
    </row>
    <row r="28" spans="1:10">
      <c r="A28" s="244"/>
      <c r="B28" s="488"/>
      <c r="C28" s="488"/>
      <c r="D28" s="491"/>
      <c r="E28" s="491"/>
      <c r="H28" s="488"/>
    </row>
    <row r="29" spans="1:10">
      <c r="A29" s="246"/>
      <c r="B29" s="488"/>
      <c r="C29" s="488"/>
      <c r="D29" s="488"/>
      <c r="E29" s="488"/>
      <c r="H29" s="488"/>
    </row>
    <row r="30" spans="1:10">
      <c r="A30" s="244"/>
      <c r="B30" s="488"/>
      <c r="C30" s="488"/>
      <c r="D30" s="488"/>
      <c r="E30" s="488"/>
      <c r="H30" s="488"/>
    </row>
    <row r="31" spans="1:10">
      <c r="A31" s="246"/>
      <c r="B31" s="488"/>
      <c r="C31" s="488"/>
      <c r="D31" s="491"/>
      <c r="E31" s="491"/>
      <c r="H31" s="488"/>
    </row>
    <row r="32" spans="1:10">
      <c r="A32" s="162"/>
      <c r="B32" s="488"/>
      <c r="C32" s="488"/>
      <c r="D32" s="488"/>
      <c r="E32" s="488"/>
      <c r="H32" s="488"/>
    </row>
    <row r="33" spans="1:8">
      <c r="A33" s="246"/>
      <c r="B33" s="488"/>
      <c r="C33" s="488"/>
      <c r="D33" s="488"/>
      <c r="E33" s="488"/>
      <c r="H33" s="488"/>
    </row>
    <row r="34" spans="1:8">
      <c r="A34" s="162"/>
      <c r="B34" s="488"/>
      <c r="C34" s="488"/>
      <c r="D34" s="488"/>
      <c r="E34" s="488"/>
      <c r="H34" s="488"/>
    </row>
    <row r="35" spans="1:8" ht="13.5" thickBot="1">
      <c r="A35" s="488"/>
      <c r="B35" s="488"/>
      <c r="C35" s="488"/>
      <c r="D35" s="488"/>
      <c r="E35" s="488"/>
      <c r="F35" s="488"/>
      <c r="G35" s="488"/>
      <c r="H35" s="457">
        <f>SUM(H19:H34)</f>
        <v>41432</v>
      </c>
    </row>
    <row r="36" spans="1:8" ht="13.5" thickTop="1">
      <c r="A36" s="490"/>
      <c r="B36" s="488"/>
      <c r="C36" s="488"/>
      <c r="D36" s="488"/>
      <c r="E36" s="488"/>
    </row>
    <row r="37" spans="1:8" ht="20.100000000000001" customHeight="1">
      <c r="A37" s="138" t="s">
        <v>1133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Forty-One Thousand Four Hundred Thirty-Two and NO/100 -----------</v>
      </c>
      <c r="C37" s="204"/>
      <c r="D37" s="139"/>
      <c r="E37" s="139"/>
      <c r="F37" s="139"/>
      <c r="G37" s="139"/>
      <c r="H37" s="139"/>
    </row>
    <row r="38" spans="1:8">
      <c r="A38" s="140" t="s">
        <v>11</v>
      </c>
      <c r="B38" s="488"/>
      <c r="C38" s="488"/>
      <c r="D38" s="488"/>
      <c r="E38" s="488"/>
      <c r="F38" s="488"/>
      <c r="G38" s="488"/>
      <c r="H38" s="488"/>
    </row>
    <row r="39" spans="1:8" ht="25.5">
      <c r="A39" s="490" t="s">
        <v>10</v>
      </c>
      <c r="B39" s="488"/>
      <c r="C39" s="488"/>
      <c r="D39" s="488"/>
      <c r="E39" s="488"/>
      <c r="F39" s="283" t="s">
        <v>2894</v>
      </c>
      <c r="G39" s="284"/>
      <c r="H39" s="285"/>
    </row>
    <row r="40" spans="1:8">
      <c r="A40" s="488"/>
      <c r="B40" s="488"/>
      <c r="C40" s="488"/>
      <c r="D40" s="488"/>
      <c r="E40" s="488"/>
      <c r="F40" s="488"/>
      <c r="G40" s="488"/>
      <c r="H40" s="488"/>
    </row>
    <row r="41" spans="1:8">
      <c r="A41" s="494"/>
      <c r="B41" s="488"/>
      <c r="C41" s="488"/>
      <c r="D41" s="488"/>
      <c r="E41" s="488"/>
      <c r="F41" s="488"/>
      <c r="G41" s="488"/>
      <c r="H41" s="488"/>
    </row>
    <row r="42" spans="1:8">
      <c r="A42" s="488"/>
      <c r="B42" s="488"/>
      <c r="C42" s="488"/>
      <c r="D42" s="141"/>
      <c r="E42" s="141"/>
      <c r="F42" s="488"/>
      <c r="G42" s="488"/>
      <c r="H42" s="488"/>
    </row>
    <row r="43" spans="1:8">
      <c r="A43" s="142"/>
      <c r="B43" s="142"/>
      <c r="C43" s="488"/>
      <c r="D43" s="488"/>
      <c r="E43" s="488"/>
      <c r="F43" s="488"/>
      <c r="G43" s="488"/>
      <c r="H43" s="488"/>
    </row>
    <row r="44" spans="1:8">
      <c r="B44" s="488"/>
      <c r="C44" s="488"/>
      <c r="D44" s="488"/>
      <c r="E44" s="488"/>
      <c r="F44" s="488"/>
      <c r="G44" s="488"/>
      <c r="H44" s="488"/>
    </row>
    <row r="45" spans="1:8">
      <c r="A45" s="493" t="s">
        <v>8</v>
      </c>
      <c r="D45" s="493" t="s">
        <v>8</v>
      </c>
      <c r="E45" s="488"/>
      <c r="F45" s="493" t="s">
        <v>7</v>
      </c>
      <c r="G45" s="488"/>
      <c r="H45" s="144"/>
    </row>
    <row r="46" spans="1:8">
      <c r="A46" s="488"/>
      <c r="B46" s="488"/>
      <c r="C46" s="488"/>
      <c r="D46" s="488"/>
      <c r="E46" s="488"/>
      <c r="F46" s="488"/>
      <c r="G46" s="488"/>
      <c r="H46" s="488"/>
    </row>
    <row r="47" spans="1:8">
      <c r="A47" s="488"/>
      <c r="B47" s="488"/>
      <c r="C47" s="488"/>
      <c r="D47" s="488"/>
      <c r="E47" s="488"/>
      <c r="F47" s="488"/>
      <c r="G47" s="488"/>
      <c r="H47" s="488"/>
    </row>
    <row r="48" spans="1:8">
      <c r="A48" s="488"/>
      <c r="B48" s="488"/>
      <c r="C48" s="488"/>
      <c r="D48" s="488"/>
      <c r="E48" s="488"/>
      <c r="F48" s="488"/>
      <c r="G48" s="488"/>
      <c r="H48" s="488"/>
    </row>
    <row r="49" spans="1:8">
      <c r="A49" s="142"/>
      <c r="B49" s="142"/>
      <c r="C49" s="488"/>
      <c r="D49" s="142"/>
      <c r="E49" s="488"/>
      <c r="F49" s="142"/>
      <c r="G49" s="142"/>
      <c r="H49" s="142"/>
    </row>
    <row r="50" spans="1:8" s="109" customFormat="1" ht="17.100000000000001" customHeight="1">
      <c r="A50" s="494" t="s">
        <v>2948</v>
      </c>
      <c r="B50" s="146"/>
      <c r="C50" s="146"/>
      <c r="D50" s="494" t="s">
        <v>103</v>
      </c>
      <c r="E50" s="490"/>
      <c r="F50" s="490" t="s">
        <v>3</v>
      </c>
      <c r="G50" s="490"/>
      <c r="H50" s="490"/>
    </row>
    <row r="51" spans="1:8">
      <c r="A51" s="488"/>
      <c r="B51" s="488"/>
      <c r="C51" s="488"/>
      <c r="D51" s="488"/>
      <c r="E51" s="488"/>
      <c r="F51" s="488" t="s">
        <v>2</v>
      </c>
      <c r="G51" s="488"/>
      <c r="H51" s="488"/>
    </row>
    <row r="52" spans="1:8">
      <c r="A52" s="488"/>
      <c r="B52" s="488"/>
      <c r="C52" s="488"/>
      <c r="D52" s="488"/>
      <c r="E52" s="488"/>
      <c r="F52" s="488"/>
      <c r="G52" s="488"/>
      <c r="H52" s="488"/>
    </row>
    <row r="53" spans="1:8">
      <c r="A53" s="488"/>
      <c r="B53" s="488"/>
      <c r="C53" s="488"/>
      <c r="D53" s="488"/>
      <c r="E53" s="488"/>
      <c r="F53" s="491" t="s">
        <v>1</v>
      </c>
      <c r="G53" s="488"/>
      <c r="H53" s="488"/>
    </row>
    <row r="54" spans="1:8">
      <c r="A54" s="488"/>
      <c r="B54" s="488"/>
      <c r="C54" s="488"/>
      <c r="D54" s="488"/>
      <c r="E54" s="488"/>
      <c r="F54" s="491" t="s">
        <v>0</v>
      </c>
      <c r="G54" s="488"/>
      <c r="H54" s="488"/>
    </row>
    <row r="55" spans="1:8">
      <c r="A55" s="488"/>
      <c r="B55" s="488"/>
      <c r="C55" s="488"/>
      <c r="D55" s="488"/>
      <c r="E55" s="488"/>
      <c r="F55" s="488"/>
      <c r="G55" s="488"/>
      <c r="H55" s="488"/>
    </row>
    <row r="56" spans="1:8">
      <c r="A56" s="488"/>
      <c r="B56" s="488"/>
      <c r="C56" s="488"/>
      <c r="D56" s="488"/>
      <c r="E56" s="488"/>
      <c r="F56" s="488"/>
      <c r="G56" s="488"/>
      <c r="H56" s="488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5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B82E7-C6E1-4749-A7C8-E065A9A77ED4}">
  <sheetPr codeName="Sheet602"/>
  <dimension ref="A1:I60"/>
  <sheetViews>
    <sheetView view="pageBreakPreview" topLeftCell="A4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1.7109375" style="227" customWidth="1"/>
    <col min="3" max="3" width="1.42578125" style="227" customWidth="1"/>
    <col min="4" max="4" width="19.85546875" style="227" customWidth="1"/>
    <col min="5" max="5" width="0.85546875" style="227" customWidth="1"/>
    <col min="6" max="6" width="14" style="227" customWidth="1"/>
    <col min="7" max="7" width="11.42578125" style="227" customWidth="1"/>
    <col min="8" max="8" width="13.28515625" style="227" customWidth="1"/>
    <col min="9" max="9" width="16.140625" style="209" customWidth="1"/>
    <col min="10" max="11" width="9.140625" style="209"/>
    <col min="12" max="12" width="9.7109375" style="209" bestFit="1" customWidth="1"/>
    <col min="13" max="16384" width="9.140625" style="209"/>
  </cols>
  <sheetData>
    <row r="1" spans="1:9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9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9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9" ht="12.75" customHeight="1">
      <c r="A4" s="532" t="s">
        <v>1684</v>
      </c>
      <c r="B4" s="532"/>
      <c r="C4" s="532"/>
      <c r="D4" s="532"/>
      <c r="E4" s="532"/>
      <c r="F4" s="532"/>
      <c r="G4" s="532"/>
      <c r="H4" s="532"/>
    </row>
    <row r="5" spans="1:9" ht="12.75" hidden="1" customHeight="1">
      <c r="A5" s="488"/>
      <c r="B5" s="488"/>
      <c r="C5" s="488"/>
      <c r="D5" s="488"/>
      <c r="E5" s="488"/>
      <c r="F5" s="488"/>
      <c r="G5" s="488"/>
      <c r="H5" s="488"/>
    </row>
    <row r="6" spans="1:9" ht="12.75" hidden="1" customHeight="1">
      <c r="A6" s="488"/>
      <c r="B6" s="488"/>
      <c r="C6" s="488"/>
      <c r="D6" s="488"/>
      <c r="E6" s="488"/>
      <c r="F6" s="488"/>
      <c r="G6" s="488"/>
      <c r="H6" s="488"/>
    </row>
    <row r="7" spans="1:9" ht="12.75" customHeight="1">
      <c r="A7" s="488"/>
      <c r="B7" s="488"/>
      <c r="C7" s="488"/>
      <c r="D7" s="488"/>
      <c r="E7" s="488"/>
      <c r="F7" s="488"/>
      <c r="G7" s="488"/>
      <c r="H7" s="488"/>
    </row>
    <row r="8" spans="1:9" s="211" customFormat="1" ht="12.75" customHeight="1">
      <c r="A8" s="490" t="s">
        <v>24</v>
      </c>
      <c r="B8" s="490"/>
      <c r="C8" s="490"/>
      <c r="D8" s="490"/>
      <c r="E8" s="490"/>
      <c r="F8" s="210" t="s">
        <v>23</v>
      </c>
      <c r="G8" s="490"/>
      <c r="H8" s="490"/>
    </row>
    <row r="9" spans="1:9" s="211" customFormat="1" ht="12.75" customHeight="1">
      <c r="A9" s="490"/>
      <c r="B9" s="490"/>
      <c r="C9" s="490"/>
      <c r="D9" s="490"/>
      <c r="E9" s="490"/>
      <c r="F9" s="212" t="s">
        <v>1723</v>
      </c>
      <c r="G9" s="483" t="s">
        <v>6427</v>
      </c>
      <c r="H9" s="483"/>
    </row>
    <row r="10" spans="1:9" s="211" customFormat="1" ht="12.75" customHeight="1">
      <c r="A10" s="490" t="s">
        <v>6429</v>
      </c>
      <c r="B10" s="490"/>
      <c r="C10" s="490"/>
      <c r="D10" s="490"/>
      <c r="E10" s="490"/>
      <c r="F10" s="212" t="s">
        <v>1340</v>
      </c>
      <c r="G10" s="489" t="s">
        <v>6424</v>
      </c>
      <c r="H10" s="483"/>
    </row>
    <row r="11" spans="1:9" s="211" customFormat="1" ht="12.75" customHeight="1">
      <c r="A11" s="490" t="s">
        <v>6430</v>
      </c>
      <c r="B11" s="490"/>
      <c r="C11" s="490"/>
      <c r="D11" s="490"/>
      <c r="E11" s="490"/>
      <c r="F11" s="212" t="s">
        <v>1341</v>
      </c>
      <c r="G11" s="489" t="s">
        <v>1094</v>
      </c>
      <c r="H11" s="483"/>
    </row>
    <row r="12" spans="1:9" s="211" customFormat="1" ht="12.75" customHeight="1">
      <c r="A12" s="490" t="s">
        <v>6431</v>
      </c>
      <c r="B12" s="490"/>
      <c r="C12" s="490"/>
      <c r="D12" s="490"/>
      <c r="E12" s="490"/>
      <c r="F12" s="212" t="s">
        <v>2136</v>
      </c>
      <c r="G12" s="483" t="s">
        <v>6428</v>
      </c>
      <c r="H12" s="483"/>
    </row>
    <row r="13" spans="1:9" s="211" customFormat="1" ht="12.75" customHeight="1">
      <c r="A13" s="490" t="s">
        <v>6432</v>
      </c>
      <c r="B13" s="490"/>
      <c r="C13" s="490"/>
      <c r="D13" s="490"/>
      <c r="E13" s="490"/>
      <c r="F13" s="490"/>
      <c r="G13" s="483" t="s">
        <v>6182</v>
      </c>
      <c r="H13" s="483"/>
    </row>
    <row r="14" spans="1:9" s="211" customFormat="1" ht="12.75" customHeight="1">
      <c r="A14" s="490" t="s">
        <v>6433</v>
      </c>
      <c r="B14" s="490"/>
      <c r="C14" s="490"/>
      <c r="D14" s="490"/>
      <c r="E14" s="490"/>
      <c r="F14" s="490"/>
      <c r="G14" s="490"/>
      <c r="H14" s="490"/>
    </row>
    <row r="15" spans="1:9" s="213" customFormat="1" ht="12.75" customHeight="1">
      <c r="A15" s="490"/>
      <c r="B15" s="490"/>
      <c r="C15" s="490"/>
      <c r="D15" s="490"/>
      <c r="E15" s="490"/>
      <c r="F15" s="490"/>
      <c r="G15" s="490"/>
      <c r="H15" s="490"/>
    </row>
    <row r="16" spans="1:9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I16" s="214"/>
    </row>
    <row r="17" spans="1:9" s="213" customFormat="1" ht="12.75" customHeight="1">
      <c r="A17" s="215"/>
      <c r="B17" s="216"/>
      <c r="C17" s="216"/>
      <c r="D17" s="217"/>
      <c r="E17" s="217"/>
      <c r="F17" s="216"/>
      <c r="G17" s="218"/>
      <c r="H17" s="219"/>
      <c r="I17" s="214"/>
    </row>
    <row r="18" spans="1:9" s="213" customFormat="1" ht="12.75" customHeight="1">
      <c r="A18" s="495"/>
      <c r="B18" s="281"/>
      <c r="C18" s="281"/>
      <c r="D18" s="319" t="s">
        <v>3657</v>
      </c>
      <c r="E18" s="494"/>
      <c r="F18" s="494"/>
      <c r="G18" s="494"/>
      <c r="H18" s="320"/>
      <c r="I18" s="318"/>
    </row>
    <row r="19" spans="1:9" s="213" customFormat="1" ht="12.75" customHeight="1">
      <c r="A19" s="495"/>
      <c r="B19" s="281"/>
      <c r="C19" s="281"/>
      <c r="D19" s="494"/>
      <c r="E19" s="494"/>
      <c r="F19" s="494"/>
      <c r="G19" s="494"/>
      <c r="H19" s="320"/>
      <c r="I19" s="318"/>
    </row>
    <row r="20" spans="1:9" s="213" customFormat="1" ht="12.75" customHeight="1">
      <c r="A20" s="492" t="s">
        <v>6426</v>
      </c>
      <c r="B20" s="502" t="s">
        <v>6434</v>
      </c>
      <c r="C20" s="281"/>
      <c r="D20" s="494" t="s">
        <v>6435</v>
      </c>
      <c r="E20" s="494"/>
      <c r="F20" s="494"/>
      <c r="G20" s="494"/>
      <c r="H20" s="320">
        <v>6000</v>
      </c>
      <c r="I20" s="318"/>
    </row>
    <row r="21" spans="1:9" s="213" customFormat="1" ht="12.75" customHeight="1">
      <c r="A21" s="495"/>
      <c r="B21" s="281"/>
      <c r="C21" s="281"/>
      <c r="D21" s="494" t="s">
        <v>6436</v>
      </c>
      <c r="E21" s="494"/>
      <c r="F21" s="494"/>
      <c r="G21" s="494"/>
      <c r="H21" s="320"/>
      <c r="I21" s="318"/>
    </row>
    <row r="22" spans="1:9" s="213" customFormat="1" ht="12.75" customHeight="1">
      <c r="D22" s="494"/>
      <c r="E22" s="494"/>
      <c r="F22" s="494"/>
      <c r="G22" s="494"/>
      <c r="H22" s="320"/>
      <c r="I22" s="318"/>
    </row>
    <row r="23" spans="1:9" s="227" customFormat="1" ht="12.75" customHeight="1">
      <c r="A23" s="495"/>
      <c r="B23" s="281"/>
      <c r="C23" s="281"/>
      <c r="D23" s="319"/>
      <c r="E23" s="494"/>
      <c r="F23" s="494"/>
      <c r="G23" s="494"/>
      <c r="H23" s="320"/>
    </row>
    <row r="24" spans="1:9" s="227" customFormat="1" ht="12.75" customHeight="1">
      <c r="A24" s="492"/>
      <c r="B24" s="281"/>
      <c r="C24" s="281"/>
      <c r="D24" s="494"/>
      <c r="E24" s="494"/>
      <c r="F24" s="494"/>
      <c r="G24" s="494"/>
      <c r="H24" s="320"/>
    </row>
    <row r="25" spans="1:9" s="227" customFormat="1" ht="12.75" customHeight="1">
      <c r="A25" s="492"/>
      <c r="B25" s="281"/>
      <c r="C25" s="281"/>
      <c r="D25" s="494"/>
      <c r="E25" s="494"/>
      <c r="F25" s="494"/>
      <c r="G25" s="494"/>
      <c r="H25" s="320"/>
    </row>
    <row r="26" spans="1:9" s="227" customFormat="1" ht="12.75" customHeight="1">
      <c r="A26" s="492"/>
      <c r="B26" s="281"/>
      <c r="C26" s="281"/>
      <c r="D26" s="319"/>
      <c r="E26" s="494"/>
      <c r="F26" s="494"/>
      <c r="G26" s="494"/>
      <c r="H26" s="320"/>
    </row>
    <row r="27" spans="1:9" s="227" customFormat="1" ht="12.75" customHeight="1">
      <c r="A27" s="495"/>
      <c r="B27" s="281"/>
      <c r="C27" s="281"/>
      <c r="D27" s="494"/>
      <c r="E27" s="494"/>
      <c r="F27" s="494"/>
      <c r="G27" s="494"/>
      <c r="H27" s="320"/>
    </row>
    <row r="28" spans="1:9" s="227" customFormat="1" ht="12.75" customHeight="1">
      <c r="A28" s="495"/>
      <c r="B28" s="281"/>
      <c r="C28" s="281"/>
      <c r="D28" s="494"/>
      <c r="E28" s="494"/>
      <c r="F28" s="494"/>
      <c r="G28" s="494"/>
      <c r="H28" s="320"/>
    </row>
    <row r="29" spans="1:9" s="227" customFormat="1" ht="12.75" customHeight="1">
      <c r="A29" s="495"/>
      <c r="B29" s="281"/>
      <c r="C29" s="281"/>
      <c r="D29" s="319"/>
      <c r="E29" s="494"/>
      <c r="F29" s="494"/>
      <c r="G29" s="494"/>
      <c r="H29" s="320"/>
    </row>
    <row r="30" spans="1:9" s="227" customFormat="1" ht="12.75" customHeight="1">
      <c r="A30" s="495"/>
      <c r="B30" s="281"/>
      <c r="C30" s="281"/>
      <c r="D30" s="319"/>
      <c r="E30" s="494"/>
      <c r="F30" s="494"/>
      <c r="G30" s="494"/>
      <c r="H30" s="320"/>
    </row>
    <row r="31" spans="1:9" s="227" customFormat="1" ht="12.75" customHeight="1">
      <c r="A31" s="492"/>
      <c r="B31" s="281"/>
      <c r="C31" s="281"/>
      <c r="D31" s="494"/>
      <c r="E31" s="494"/>
      <c r="F31" s="494"/>
      <c r="G31" s="494"/>
      <c r="H31" s="320"/>
    </row>
    <row r="32" spans="1:9" s="227" customFormat="1" ht="12.75" customHeight="1">
      <c r="A32" s="495"/>
      <c r="B32" s="281"/>
      <c r="C32" s="281"/>
      <c r="D32" s="494"/>
      <c r="E32" s="494"/>
      <c r="F32" s="494"/>
      <c r="G32" s="494"/>
      <c r="H32" s="320"/>
    </row>
    <row r="33" spans="1:9" s="227" customFormat="1" ht="12.75" customHeight="1">
      <c r="A33" s="495"/>
      <c r="B33" s="281"/>
      <c r="C33" s="281"/>
      <c r="D33" s="319"/>
      <c r="E33" s="494"/>
      <c r="F33" s="494"/>
      <c r="G33" s="494"/>
      <c r="H33" s="320"/>
    </row>
    <row r="34" spans="1:9" s="227" customFormat="1" ht="12.75" customHeight="1">
      <c r="A34" s="495"/>
      <c r="B34" s="281"/>
      <c r="C34" s="281"/>
      <c r="D34" s="494"/>
      <c r="E34" s="494"/>
      <c r="F34" s="494"/>
      <c r="G34" s="494"/>
      <c r="H34" s="320"/>
    </row>
    <row r="35" spans="1:9" s="211" customFormat="1" ht="15.75" customHeight="1" thickBot="1">
      <c r="A35" s="229"/>
      <c r="B35" s="224"/>
      <c r="C35" s="224"/>
      <c r="D35" s="224"/>
      <c r="E35" s="224"/>
      <c r="F35" s="224"/>
      <c r="G35" s="224"/>
      <c r="H35" s="328">
        <f>SUM(H18:H34)</f>
        <v>6000</v>
      </c>
      <c r="I35" s="221"/>
    </row>
    <row r="36" spans="1:9" s="211" customFormat="1" ht="12.75" customHeight="1" thickTop="1">
      <c r="A36" s="229"/>
      <c r="B36" s="224"/>
      <c r="C36" s="224"/>
      <c r="D36" s="224"/>
      <c r="E36" s="224"/>
      <c r="F36" s="224"/>
      <c r="G36" s="224"/>
      <c r="H36" s="224"/>
      <c r="I36" s="221"/>
    </row>
    <row r="37" spans="1:9" ht="20.100000000000001" customHeight="1">
      <c r="A37" s="138" t="s">
        <v>1133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 Thousand and NO/100 -----------</v>
      </c>
      <c r="C37" s="204"/>
      <c r="D37" s="231"/>
      <c r="E37" s="231"/>
      <c r="F37" s="231"/>
      <c r="G37" s="231"/>
      <c r="H37" s="231"/>
    </row>
    <row r="38" spans="1:9" ht="12.75" customHeight="1">
      <c r="A38" s="232"/>
    </row>
    <row r="39" spans="1:9" ht="27" customHeight="1">
      <c r="A39" s="488" t="s">
        <v>10</v>
      </c>
      <c r="B39" s="488"/>
      <c r="C39" s="488"/>
      <c r="D39" s="488"/>
      <c r="E39" s="488"/>
      <c r="F39" s="283" t="s">
        <v>2894</v>
      </c>
      <c r="G39" s="284"/>
      <c r="H39" s="285"/>
    </row>
    <row r="40" spans="1:9" ht="12.75" customHeight="1">
      <c r="A40" s="488"/>
      <c r="B40" s="488"/>
      <c r="C40" s="488"/>
      <c r="D40" s="488"/>
      <c r="E40" s="488"/>
      <c r="F40" s="488"/>
      <c r="G40" s="488"/>
      <c r="H40" s="488"/>
    </row>
    <row r="41" spans="1:9" ht="12.75" customHeight="1">
      <c r="A41" s="488"/>
      <c r="B41" s="488"/>
      <c r="C41" s="488"/>
      <c r="D41" s="488"/>
      <c r="E41" s="488"/>
      <c r="F41" s="488"/>
      <c r="G41" s="488"/>
      <c r="H41" s="488"/>
    </row>
    <row r="42" spans="1:9">
      <c r="A42" s="301"/>
      <c r="B42" s="488"/>
      <c r="C42" s="488"/>
      <c r="D42" s="488"/>
      <c r="E42" s="488"/>
      <c r="F42" s="291"/>
      <c r="G42" s="291"/>
      <c r="H42" s="291"/>
    </row>
    <row r="43" spans="1:9">
      <c r="A43" s="248"/>
      <c r="B43" s="142"/>
      <c r="C43" s="488"/>
      <c r="D43" s="488"/>
      <c r="E43" s="488"/>
      <c r="F43" s="286"/>
      <c r="G43" s="287"/>
      <c r="H43" s="287"/>
    </row>
    <row r="44" spans="1:9" ht="12.75" customHeight="1">
      <c r="A44" s="301"/>
      <c r="B44" s="301"/>
      <c r="C44" s="301"/>
      <c r="D44" s="488"/>
      <c r="E44" s="488"/>
      <c r="F44" s="488"/>
      <c r="G44" s="488"/>
      <c r="H44" s="144"/>
    </row>
    <row r="45" spans="1:9" ht="12.75" customHeight="1">
      <c r="A45" s="301"/>
      <c r="B45" s="301"/>
      <c r="C45" s="301"/>
      <c r="D45" s="301"/>
      <c r="E45" s="488"/>
      <c r="F45" s="488"/>
      <c r="G45" s="488"/>
      <c r="H45" s="144"/>
    </row>
    <row r="46" spans="1:9" ht="12.75" customHeight="1">
      <c r="A46" s="493" t="s">
        <v>8</v>
      </c>
      <c r="B46" s="488"/>
      <c r="C46" s="488"/>
      <c r="D46" s="493" t="s">
        <v>8</v>
      </c>
      <c r="E46" s="488"/>
      <c r="F46" s="488"/>
      <c r="G46" s="488"/>
      <c r="H46" s="488"/>
    </row>
    <row r="47" spans="1:9" ht="12.75" customHeight="1">
      <c r="A47" s="301"/>
      <c r="B47" s="488"/>
      <c r="C47" s="488"/>
      <c r="D47" s="301"/>
      <c r="E47" s="488"/>
      <c r="F47" s="493" t="s">
        <v>7</v>
      </c>
      <c r="G47" s="488"/>
      <c r="H47" s="488"/>
    </row>
    <row r="48" spans="1:9" ht="12.75" customHeight="1">
      <c r="A48" s="493"/>
      <c r="B48" s="488"/>
      <c r="C48" s="488"/>
      <c r="D48" s="493"/>
      <c r="E48" s="488"/>
      <c r="F48" s="488"/>
      <c r="G48" s="488"/>
      <c r="H48" s="488"/>
    </row>
    <row r="49" spans="1:8" ht="12.75" customHeight="1">
      <c r="A49" s="493"/>
      <c r="B49" s="488"/>
      <c r="C49" s="488"/>
      <c r="D49" s="493"/>
      <c r="E49" s="488"/>
      <c r="F49" s="488"/>
      <c r="G49" s="488"/>
      <c r="H49" s="488"/>
    </row>
    <row r="50" spans="1:8" s="211" customFormat="1" ht="12.75" customHeight="1">
      <c r="A50" s="493"/>
      <c r="B50" s="488"/>
      <c r="C50" s="488"/>
      <c r="D50" s="493"/>
      <c r="E50" s="488"/>
      <c r="F50" s="488"/>
      <c r="G50" s="490"/>
      <c r="H50" s="490"/>
    </row>
    <row r="51" spans="1:8" ht="12.75" customHeight="1">
      <c r="A51" s="248"/>
      <c r="B51" s="142"/>
      <c r="C51" s="488"/>
      <c r="D51" s="248"/>
      <c r="E51" s="142"/>
      <c r="F51" s="142"/>
      <c r="G51" s="142"/>
      <c r="H51" s="142"/>
    </row>
    <row r="52" spans="1:8" ht="15" customHeight="1">
      <c r="A52" s="493" t="s">
        <v>2948</v>
      </c>
      <c r="B52" s="146"/>
      <c r="C52" s="146"/>
      <c r="D52" s="493" t="s">
        <v>103</v>
      </c>
      <c r="E52" s="146"/>
      <c r="F52" s="490" t="s">
        <v>3</v>
      </c>
      <c r="G52" s="488"/>
      <c r="H52" s="488"/>
    </row>
    <row r="53" spans="1:8" ht="12.75" customHeight="1">
      <c r="A53" s="493"/>
      <c r="B53" s="488"/>
      <c r="C53" s="488"/>
      <c r="D53" s="488"/>
      <c r="E53" s="488"/>
      <c r="F53" s="488" t="s">
        <v>2</v>
      </c>
      <c r="G53" s="488"/>
      <c r="H53" s="488"/>
    </row>
    <row r="54" spans="1:8" ht="12.75" customHeight="1">
      <c r="A54" s="488"/>
      <c r="B54" s="488"/>
      <c r="C54" s="488"/>
      <c r="D54" s="488"/>
      <c r="E54" s="488"/>
      <c r="F54" s="488"/>
      <c r="G54" s="488"/>
      <c r="H54" s="488"/>
    </row>
    <row r="55" spans="1:8" ht="12.75" customHeight="1">
      <c r="A55" s="488"/>
      <c r="B55" s="488"/>
      <c r="C55" s="488"/>
      <c r="D55" s="488"/>
      <c r="E55" s="488"/>
      <c r="F55" s="491" t="s">
        <v>1</v>
      </c>
      <c r="G55" s="488"/>
      <c r="H55" s="488"/>
    </row>
    <row r="56" spans="1:8" ht="12.75" customHeight="1">
      <c r="A56" s="488"/>
      <c r="B56" s="488"/>
      <c r="C56" s="488"/>
      <c r="D56" s="488"/>
      <c r="E56" s="488"/>
      <c r="F56" s="491" t="s">
        <v>0</v>
      </c>
      <c r="G56" s="488"/>
      <c r="H56" s="488"/>
    </row>
    <row r="57" spans="1:8" ht="12.75" customHeight="1">
      <c r="A57" s="488"/>
      <c r="B57" s="488"/>
      <c r="C57" s="488"/>
      <c r="D57" s="488"/>
      <c r="E57" s="488"/>
      <c r="F57" s="488"/>
      <c r="G57" s="488"/>
      <c r="H57" s="488"/>
    </row>
    <row r="58" spans="1:8" ht="12.75" customHeight="1">
      <c r="A58" s="488"/>
      <c r="B58" s="488"/>
      <c r="C58" s="488"/>
      <c r="D58" s="488"/>
      <c r="E58" s="488"/>
      <c r="F58" s="488"/>
      <c r="G58" s="488"/>
      <c r="H58" s="488"/>
    </row>
    <row r="59" spans="1:8">
      <c r="A59" s="488"/>
      <c r="B59" s="488"/>
      <c r="C59" s="488"/>
      <c r="D59" s="488"/>
      <c r="E59" s="488"/>
      <c r="F59" s="488"/>
      <c r="G59" s="488"/>
      <c r="H59" s="488"/>
    </row>
    <row r="60" spans="1:8">
      <c r="A60" s="488"/>
      <c r="B60" s="488"/>
      <c r="C60" s="488"/>
      <c r="D60" s="488"/>
      <c r="E60" s="488"/>
      <c r="F60" s="488"/>
      <c r="G60" s="488"/>
      <c r="H60" s="488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90" orientation="portrait" r:id="rId1"/>
  <headerFooter alignWithMargins="0"/>
</worksheet>
</file>

<file path=xl/worksheets/sheet5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B0014-2AC7-4F50-868A-8332E139204D}">
  <sheetPr codeName="Sheet615">
    <pageSetUpPr fitToPage="1"/>
  </sheetPr>
  <dimension ref="A1:P55"/>
  <sheetViews>
    <sheetView zoomScaleNormal="100" workbookViewId="0">
      <selection activeCell="G9" sqref="G9:G13"/>
    </sheetView>
  </sheetViews>
  <sheetFormatPr defaultRowHeight="12.75"/>
  <cols>
    <col min="1" max="1" width="15.7109375" style="483" customWidth="1"/>
    <col min="2" max="2" width="14.140625" style="483" customWidth="1"/>
    <col min="3" max="3" width="1.140625" style="483" customWidth="1"/>
    <col min="4" max="4" width="21" style="483" customWidth="1"/>
    <col min="5" max="5" width="1" style="483" customWidth="1"/>
    <col min="6" max="6" width="16.42578125" style="483" customWidth="1"/>
    <col min="7" max="7" width="8.7109375" style="483" customWidth="1"/>
    <col min="8" max="8" width="13.28515625" style="483" customWidth="1"/>
    <col min="9" max="15" width="9.140625" style="1"/>
    <col min="16" max="16" width="10.42578125" style="1" bestFit="1" customWidth="1"/>
    <col min="17" max="16384" width="9.140625" style="1"/>
  </cols>
  <sheetData>
    <row r="1" spans="1:16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6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6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6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6">
      <c r="A8" s="483" t="s">
        <v>24</v>
      </c>
      <c r="F8" s="22" t="s">
        <v>23</v>
      </c>
    </row>
    <row r="9" spans="1:16">
      <c r="F9" s="484" t="s">
        <v>3349</v>
      </c>
      <c r="G9" s="489" t="s">
        <v>6711</v>
      </c>
      <c r="I9" s="126"/>
    </row>
    <row r="10" spans="1:16">
      <c r="A10" s="483" t="s">
        <v>6713</v>
      </c>
      <c r="F10" s="484" t="s">
        <v>1340</v>
      </c>
      <c r="G10" s="489" t="s">
        <v>6695</v>
      </c>
      <c r="I10" s="160"/>
    </row>
    <row r="11" spans="1:16">
      <c r="A11" s="483" t="s">
        <v>6714</v>
      </c>
      <c r="F11" s="484" t="s">
        <v>3350</v>
      </c>
      <c r="G11" s="489" t="s">
        <v>2023</v>
      </c>
      <c r="I11" s="160"/>
    </row>
    <row r="12" spans="1:16">
      <c r="A12" s="483" t="s">
        <v>3717</v>
      </c>
      <c r="F12" s="484" t="s">
        <v>1188</v>
      </c>
      <c r="G12" s="486" t="s">
        <v>6712</v>
      </c>
      <c r="I12" s="160"/>
      <c r="L12" s="483" t="s">
        <v>6706</v>
      </c>
      <c r="M12" s="483"/>
      <c r="N12" s="483"/>
      <c r="O12" s="483"/>
      <c r="P12" s="483">
        <v>15375</v>
      </c>
    </row>
    <row r="13" spans="1:16">
      <c r="A13" s="483" t="s">
        <v>6715</v>
      </c>
      <c r="L13" s="483" t="s">
        <v>6707</v>
      </c>
      <c r="M13" s="483"/>
      <c r="N13" s="483"/>
      <c r="O13" s="483"/>
      <c r="P13" s="483"/>
    </row>
    <row r="14" spans="1:16">
      <c r="L14" s="483"/>
      <c r="M14" s="483"/>
      <c r="N14" s="483"/>
      <c r="O14" s="483"/>
      <c r="P14" s="483"/>
    </row>
    <row r="15" spans="1:16">
      <c r="L15" s="483"/>
      <c r="M15" s="483"/>
      <c r="N15" s="483"/>
      <c r="O15" s="483"/>
      <c r="P15" s="483"/>
    </row>
    <row r="16" spans="1:16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8" spans="1:12">
      <c r="A18" s="485"/>
      <c r="B18" s="485"/>
      <c r="C18" s="485"/>
      <c r="D18" s="482" t="s">
        <v>6716</v>
      </c>
    </row>
    <row r="19" spans="1:12">
      <c r="A19" s="485"/>
      <c r="B19" s="121"/>
    </row>
    <row r="20" spans="1:12">
      <c r="A20" s="485" t="s">
        <v>6717</v>
      </c>
      <c r="B20" s="485" t="s">
        <v>6718</v>
      </c>
      <c r="C20" s="485"/>
      <c r="D20" s="483" t="s">
        <v>6719</v>
      </c>
      <c r="L20" s="483" t="s">
        <v>6708</v>
      </c>
    </row>
    <row r="21" spans="1:12">
      <c r="A21" s="485"/>
      <c r="B21" s="485"/>
      <c r="C21" s="485"/>
      <c r="D21" s="483" t="s">
        <v>6720</v>
      </c>
      <c r="H21" s="483">
        <v>3800</v>
      </c>
      <c r="L21" s="483" t="s">
        <v>6709</v>
      </c>
    </row>
    <row r="22" spans="1:12">
      <c r="A22" s="485"/>
      <c r="B22" s="485"/>
      <c r="D22" s="483" t="s">
        <v>6721</v>
      </c>
      <c r="H22" s="483">
        <v>5400</v>
      </c>
      <c r="L22" s="483" t="s">
        <v>6710</v>
      </c>
    </row>
    <row r="23" spans="1:12">
      <c r="A23" s="485"/>
      <c r="B23" s="485"/>
      <c r="D23" s="483" t="s">
        <v>6722</v>
      </c>
      <c r="H23" s="483">
        <v>6500</v>
      </c>
    </row>
    <row r="24" spans="1:12">
      <c r="D24" s="483" t="s">
        <v>6723</v>
      </c>
      <c r="H24" s="483">
        <v>3500</v>
      </c>
    </row>
    <row r="25" spans="1:12">
      <c r="A25" s="485"/>
      <c r="B25" s="485"/>
    </row>
    <row r="26" spans="1:12">
      <c r="A26" s="485"/>
      <c r="B26" s="485"/>
      <c r="C26" s="485"/>
      <c r="H26" s="149"/>
    </row>
    <row r="27" spans="1:12">
      <c r="A27" s="161"/>
      <c r="B27" s="485"/>
      <c r="C27" s="485"/>
      <c r="H27" s="149"/>
    </row>
    <row r="28" spans="1:12">
      <c r="A28" s="161"/>
      <c r="B28" s="485"/>
      <c r="C28" s="485"/>
      <c r="H28" s="149"/>
    </row>
    <row r="29" spans="1:12">
      <c r="A29" s="161"/>
      <c r="B29" s="485"/>
      <c r="C29" s="485"/>
      <c r="H29" s="149"/>
    </row>
    <row r="30" spans="1:12">
      <c r="A30" s="161"/>
      <c r="B30" s="485"/>
      <c r="C30" s="485"/>
      <c r="H30" s="149"/>
    </row>
    <row r="31" spans="1:12">
      <c r="A31" s="161"/>
      <c r="B31" s="485"/>
      <c r="C31" s="485"/>
      <c r="H31" s="149"/>
    </row>
    <row r="32" spans="1:12">
      <c r="A32" s="161"/>
      <c r="B32" s="485"/>
      <c r="C32" s="485"/>
      <c r="H32" s="149"/>
    </row>
    <row r="33" spans="1:8">
      <c r="A33" s="161"/>
      <c r="B33" s="485"/>
      <c r="C33" s="485"/>
      <c r="H33" s="149"/>
    </row>
    <row r="34" spans="1:8">
      <c r="A34" s="115"/>
      <c r="B34" s="121"/>
      <c r="C34" s="121"/>
    </row>
    <row r="36" spans="1:8" ht="13.5" thickBot="1">
      <c r="H36" s="117">
        <f>SUM(H18:H34)</f>
        <v>19200</v>
      </c>
    </row>
    <row r="37" spans="1:8" ht="13.5" thickTop="1"/>
    <row r="38" spans="1:8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Nineteen Thousand Two Hundred and NO/100 -----------</v>
      </c>
      <c r="C38" s="202"/>
      <c r="D38" s="119"/>
      <c r="E38" s="119"/>
      <c r="F38" s="119"/>
      <c r="G38" s="119"/>
      <c r="H38" s="119"/>
    </row>
    <row r="39" spans="1:8" ht="20.100000000000001" customHeight="1">
      <c r="A39" s="160"/>
      <c r="B39" s="151"/>
      <c r="C39" s="151"/>
      <c r="D39" s="126"/>
      <c r="E39" s="126"/>
      <c r="F39" s="126"/>
      <c r="G39" s="126"/>
      <c r="H39" s="126"/>
    </row>
    <row r="40" spans="1:8" ht="25.5">
      <c r="A40" s="486" t="s">
        <v>3060</v>
      </c>
      <c r="F40" s="265" t="s">
        <v>2894</v>
      </c>
      <c r="G40" s="266"/>
      <c r="H40" s="267"/>
    </row>
    <row r="41" spans="1:8">
      <c r="F41" s="310"/>
      <c r="G41" s="311"/>
      <c r="H41" s="311"/>
    </row>
    <row r="42" spans="1:8">
      <c r="A42" s="1"/>
      <c r="D42" s="121"/>
      <c r="E42" s="121"/>
    </row>
    <row r="43" spans="1:8">
      <c r="A43" s="483" t="s">
        <v>52</v>
      </c>
      <c r="D43" s="121"/>
      <c r="E43" s="121"/>
    </row>
    <row r="44" spans="1:8">
      <c r="A44" s="122"/>
      <c r="B44" s="122"/>
    </row>
    <row r="46" spans="1:8">
      <c r="A46" s="487" t="s">
        <v>8</v>
      </c>
      <c r="D46" s="487" t="s">
        <v>8</v>
      </c>
      <c r="F46" s="487" t="s">
        <v>7</v>
      </c>
      <c r="H46" s="124"/>
    </row>
    <row r="50" spans="1:8">
      <c r="A50" s="122"/>
      <c r="B50" s="122"/>
      <c r="D50" s="122"/>
      <c r="F50" s="122"/>
      <c r="G50" s="122"/>
      <c r="H50" s="122"/>
    </row>
    <row r="51" spans="1:8" s="3" customFormat="1" ht="17.100000000000001" customHeight="1">
      <c r="A51" s="483" t="s">
        <v>2948</v>
      </c>
      <c r="B51" s="125"/>
      <c r="C51" s="125"/>
      <c r="D51" s="483" t="s">
        <v>103</v>
      </c>
      <c r="E51" s="126"/>
      <c r="F51" s="126" t="s">
        <v>3</v>
      </c>
      <c r="G51" s="126"/>
      <c r="H51" s="126"/>
    </row>
    <row r="52" spans="1:8">
      <c r="F52" s="483" t="s">
        <v>2</v>
      </c>
    </row>
    <row r="54" spans="1:8">
      <c r="F54" s="482" t="s">
        <v>1</v>
      </c>
    </row>
    <row r="55" spans="1:8">
      <c r="F55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5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3F879-C778-4A03-BD89-F706D099431B}">
  <sheetPr codeName="Sheet618"/>
  <dimension ref="A1:R58"/>
  <sheetViews>
    <sheetView view="pageBreakPreview" topLeftCell="A4" zoomScaleNormal="100" zoomScaleSheetLayoutView="100" workbookViewId="0">
      <selection activeCell="G9" sqref="G9:G13"/>
    </sheetView>
  </sheetViews>
  <sheetFormatPr defaultRowHeight="12.75"/>
  <cols>
    <col min="1" max="1" width="16.28515625" style="483" customWidth="1"/>
    <col min="2" max="2" width="12.28515625" style="483" customWidth="1"/>
    <col min="3" max="3" width="1.42578125" style="483" customWidth="1"/>
    <col min="4" max="4" width="22.85546875" style="483" customWidth="1"/>
    <col min="5" max="5" width="1" style="483" customWidth="1"/>
    <col min="6" max="6" width="13.140625" style="483" customWidth="1"/>
    <col min="7" max="7" width="10.5703125" style="483" customWidth="1"/>
    <col min="8" max="8" width="13.140625" style="483" customWidth="1"/>
    <col min="9" max="16384" width="9.140625" style="483"/>
  </cols>
  <sheetData>
    <row r="1" spans="1:1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8">
      <c r="A8" s="483" t="s">
        <v>24</v>
      </c>
      <c r="B8"/>
      <c r="C8"/>
      <c r="D8"/>
      <c r="E8"/>
      <c r="F8" s="22" t="s">
        <v>23</v>
      </c>
      <c r="G8"/>
      <c r="H8"/>
      <c r="K8" s="485" t="s">
        <v>6656</v>
      </c>
      <c r="L8" s="485" t="s">
        <v>6658</v>
      </c>
      <c r="M8" s="485"/>
      <c r="N8" s="486" t="s">
        <v>6662</v>
      </c>
      <c r="O8" s="482"/>
      <c r="P8"/>
      <c r="Q8"/>
      <c r="R8" s="514">
        <v>5650</v>
      </c>
    </row>
    <row r="9" spans="1:18">
      <c r="A9"/>
      <c r="B9"/>
      <c r="C9"/>
      <c r="D9"/>
      <c r="E9"/>
      <c r="F9" s="484" t="s">
        <v>1123</v>
      </c>
      <c r="G9" s="489" t="s">
        <v>6839</v>
      </c>
      <c r="H9"/>
      <c r="K9"/>
      <c r="L9"/>
      <c r="M9"/>
      <c r="N9" s="483" t="s">
        <v>6659</v>
      </c>
      <c r="O9" s="482"/>
      <c r="P9"/>
      <c r="Q9"/>
      <c r="R9"/>
    </row>
    <row r="10" spans="1:18">
      <c r="A10" s="483" t="s">
        <v>6841</v>
      </c>
      <c r="B10" s="410"/>
      <c r="C10"/>
      <c r="D10"/>
      <c r="E10"/>
      <c r="F10" s="484" t="s">
        <v>1124</v>
      </c>
      <c r="G10" s="489" t="s">
        <v>6838</v>
      </c>
      <c r="H10"/>
      <c r="K10" s="485"/>
      <c r="L10" s="485"/>
      <c r="M10" s="485"/>
      <c r="O10"/>
      <c r="P10"/>
      <c r="Q10"/>
    </row>
    <row r="11" spans="1:18">
      <c r="A11" s="410" t="s">
        <v>6842</v>
      </c>
      <c r="B11" s="410"/>
      <c r="C11"/>
      <c r="D11"/>
      <c r="E11"/>
      <c r="F11" s="484" t="s">
        <v>1125</v>
      </c>
      <c r="G11" s="489" t="s">
        <v>1094</v>
      </c>
      <c r="H11"/>
      <c r="K11" s="485" t="s">
        <v>6656</v>
      </c>
      <c r="L11" s="485" t="s">
        <v>6660</v>
      </c>
      <c r="M11" s="485"/>
      <c r="N11" s="483" t="s">
        <v>6661</v>
      </c>
      <c r="O11"/>
      <c r="P11"/>
      <c r="Q11"/>
      <c r="R11" s="483">
        <v>5650</v>
      </c>
    </row>
    <row r="12" spans="1:18">
      <c r="A12" s="410" t="s">
        <v>6843</v>
      </c>
      <c r="B12" s="410"/>
      <c r="C12"/>
      <c r="D12"/>
      <c r="E12"/>
      <c r="F12" s="484" t="s">
        <v>1096</v>
      </c>
      <c r="G12" s="483" t="s">
        <v>6840</v>
      </c>
      <c r="H12"/>
      <c r="K12" s="485"/>
      <c r="L12" s="485"/>
      <c r="M12" s="121"/>
      <c r="O12"/>
      <c r="P12"/>
      <c r="Q12"/>
    </row>
    <row r="13" spans="1:18">
      <c r="A13" s="483" t="s">
        <v>1287</v>
      </c>
      <c r="G13" s="483" t="s">
        <v>6182</v>
      </c>
    </row>
    <row r="14" spans="1:18">
      <c r="A14" s="483" t="s">
        <v>6844</v>
      </c>
    </row>
    <row r="16" spans="1:18" s="15" customFormat="1" ht="20.100000000000001" customHeight="1">
      <c r="A16" s="18" t="s">
        <v>1140</v>
      </c>
      <c r="B16" s="519" t="s">
        <v>1098</v>
      </c>
      <c r="C16" s="519"/>
      <c r="D16" s="19" t="s">
        <v>14</v>
      </c>
      <c r="E16" s="19"/>
      <c r="F16" s="18"/>
      <c r="G16" s="17"/>
      <c r="H16" s="16" t="s">
        <v>13</v>
      </c>
    </row>
    <row r="18" spans="1:14">
      <c r="A18" s="485"/>
      <c r="B18" s="485"/>
      <c r="C18" s="485"/>
      <c r="D18" s="168" t="s">
        <v>6845</v>
      </c>
      <c r="E18" s="482"/>
      <c r="F18"/>
      <c r="G18"/>
      <c r="H18" s="514"/>
      <c r="I18" s="242"/>
    </row>
    <row r="19" spans="1:14">
      <c r="A19"/>
      <c r="B19"/>
      <c r="C19"/>
      <c r="E19" s="482"/>
      <c r="F19"/>
      <c r="G19"/>
      <c r="H19"/>
      <c r="I19"/>
      <c r="K19" s="483" t="s">
        <v>3565</v>
      </c>
      <c r="N19" s="483">
        <f>19060/2</f>
        <v>9530</v>
      </c>
    </row>
    <row r="20" spans="1:14">
      <c r="A20" s="485" t="s">
        <v>6846</v>
      </c>
      <c r="B20" s="335" t="s">
        <v>6847</v>
      </c>
      <c r="C20" s="485"/>
      <c r="D20" s="483" t="s">
        <v>6848</v>
      </c>
      <c r="E20"/>
      <c r="F20"/>
      <c r="G20"/>
      <c r="H20" s="483">
        <v>650</v>
      </c>
      <c r="I20"/>
      <c r="J20" s="483">
        <f>100/400</f>
        <v>0.25</v>
      </c>
      <c r="K20" s="167" t="s">
        <v>3566</v>
      </c>
    </row>
    <row r="21" spans="1:14">
      <c r="A21" s="485"/>
      <c r="B21" s="485"/>
      <c r="C21" s="485"/>
      <c r="E21"/>
      <c r="F21"/>
      <c r="G21"/>
      <c r="I21"/>
    </row>
    <row r="22" spans="1:14">
      <c r="A22" s="485"/>
      <c r="B22" s="485"/>
      <c r="C22" s="121"/>
      <c r="E22"/>
      <c r="F22"/>
      <c r="G22"/>
      <c r="I22"/>
    </row>
    <row r="23" spans="1:14">
      <c r="A23" s="485"/>
      <c r="B23" s="485"/>
      <c r="C23" s="410"/>
      <c r="E23" s="482"/>
      <c r="F23" s="410"/>
      <c r="G23" s="410"/>
      <c r="I23"/>
    </row>
    <row r="24" spans="1:14">
      <c r="A24" s="485"/>
      <c r="B24" s="485"/>
      <c r="C24" s="485"/>
      <c r="E24" s="410"/>
      <c r="F24" s="410"/>
      <c r="I24"/>
    </row>
    <row r="25" spans="1:14">
      <c r="A25" s="485"/>
      <c r="B25" s="485"/>
      <c r="C25" s="485"/>
      <c r="E25" s="410"/>
      <c r="F25" s="410"/>
    </row>
    <row r="26" spans="1:14">
      <c r="A26" s="485"/>
      <c r="B26" s="485"/>
    </row>
    <row r="27" spans="1:14">
      <c r="A27" s="485"/>
      <c r="B27" s="485"/>
      <c r="C27" s="485"/>
      <c r="E27" s="482"/>
      <c r="F27" s="410"/>
      <c r="H27" s="149"/>
    </row>
    <row r="28" spans="1:14">
      <c r="A28" s="485"/>
      <c r="B28" s="485"/>
      <c r="C28" s="485"/>
      <c r="E28" s="482"/>
      <c r="F28" s="410"/>
      <c r="H28" s="149"/>
    </row>
    <row r="29" spans="1:14">
      <c r="A29" s="485"/>
      <c r="B29" s="485"/>
      <c r="C29" s="485"/>
      <c r="E29" s="410"/>
      <c r="F29" s="410"/>
      <c r="H29" s="149"/>
    </row>
    <row r="30" spans="1:14">
      <c r="A30" s="485"/>
      <c r="B30" s="485"/>
      <c r="C30"/>
      <c r="E30"/>
      <c r="F30"/>
      <c r="G30"/>
      <c r="H30" s="149"/>
    </row>
    <row r="31" spans="1:14">
      <c r="A31" s="255"/>
      <c r="B31" s="255"/>
      <c r="C31" s="255"/>
      <c r="E31" s="410"/>
      <c r="F31" s="410"/>
      <c r="G31" s="410"/>
      <c r="H31" s="149"/>
    </row>
    <row r="32" spans="1:14">
      <c r="A32" s="255"/>
      <c r="B32" s="255"/>
      <c r="C32" s="255"/>
      <c r="E32" s="410"/>
      <c r="F32" s="410"/>
      <c r="G32" s="410"/>
      <c r="H32" s="149"/>
    </row>
    <row r="33" spans="1:8">
      <c r="A33" s="486"/>
      <c r="H33" s="149"/>
    </row>
    <row r="34" spans="1:8" ht="13.5" thickBot="1">
      <c r="A34"/>
      <c r="B34"/>
      <c r="C34"/>
      <c r="D34"/>
      <c r="E34"/>
      <c r="F34"/>
      <c r="G34"/>
      <c r="H34" s="117">
        <f>SUM(H18:H33)</f>
        <v>650</v>
      </c>
    </row>
    <row r="35" spans="1:8" ht="12.75" customHeight="1" thickTop="1">
      <c r="A35"/>
      <c r="B35"/>
      <c r="C35"/>
      <c r="D35"/>
      <c r="E35"/>
      <c r="F35"/>
      <c r="G35"/>
      <c r="H35"/>
    </row>
    <row r="36" spans="1:8" ht="21.75" customHeight="1">
      <c r="A36" s="118" t="s">
        <v>1133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Six Hundred Fifty and NO/100 -----------</v>
      </c>
      <c r="C36" s="202"/>
      <c r="D36" s="119"/>
      <c r="E36" s="119"/>
      <c r="F36" s="119"/>
      <c r="G36" s="119"/>
      <c r="H36" s="119"/>
    </row>
    <row r="37" spans="1:8" ht="12" customHeight="1">
      <c r="A37" s="160"/>
      <c r="B37" s="151"/>
      <c r="C37" s="151"/>
      <c r="D37" s="126"/>
      <c r="E37" s="126"/>
      <c r="F37" s="126"/>
      <c r="G37" s="126"/>
      <c r="H37" s="126"/>
    </row>
    <row r="38" spans="1:8" ht="25.5">
      <c r="A38" s="160" t="s">
        <v>3060</v>
      </c>
      <c r="B38"/>
      <c r="C38"/>
      <c r="D38"/>
      <c r="E38"/>
      <c r="F38" s="265" t="s">
        <v>2894</v>
      </c>
      <c r="G38" s="266"/>
      <c r="H38" s="267"/>
    </row>
    <row r="39" spans="1:8">
      <c r="A39"/>
      <c r="B39"/>
      <c r="C39"/>
      <c r="D39"/>
      <c r="E39"/>
      <c r="F39" s="310"/>
      <c r="G39" s="311"/>
      <c r="H39" s="311"/>
    </row>
    <row r="40" spans="1:8">
      <c r="A40"/>
      <c r="B40"/>
      <c r="C40"/>
      <c r="D40" s="121"/>
      <c r="E40" s="121"/>
      <c r="F40"/>
      <c r="G40"/>
      <c r="H40"/>
    </row>
    <row r="41" spans="1:8">
      <c r="A41"/>
      <c r="B41"/>
      <c r="C41"/>
      <c r="D41" s="121"/>
      <c r="E41" s="121"/>
      <c r="F41"/>
      <c r="G41"/>
      <c r="H41"/>
    </row>
    <row r="42" spans="1:8">
      <c r="A42" s="122"/>
      <c r="B42" s="122"/>
      <c r="F42"/>
      <c r="G42"/>
      <c r="H42"/>
    </row>
    <row r="44" spans="1:8">
      <c r="A44" s="487" t="s">
        <v>8</v>
      </c>
      <c r="B44"/>
      <c r="C44"/>
      <c r="D44" s="487" t="s">
        <v>8</v>
      </c>
      <c r="E44"/>
      <c r="F44" s="487" t="s">
        <v>7</v>
      </c>
      <c r="G44"/>
      <c r="H44" s="124"/>
    </row>
    <row r="45" spans="1:8" s="126" customFormat="1" ht="17.100000000000001" customHeight="1">
      <c r="A45" s="151"/>
      <c r="B45" s="125"/>
      <c r="C45" s="125"/>
      <c r="D45" s="151"/>
    </row>
    <row r="47" spans="1:8">
      <c r="A47"/>
      <c r="B47"/>
      <c r="C47"/>
      <c r="D47"/>
      <c r="E47"/>
    </row>
    <row r="48" spans="1:8">
      <c r="A48" s="122"/>
      <c r="B48" s="122"/>
      <c r="D48" s="122"/>
      <c r="E48"/>
      <c r="F48" s="122"/>
      <c r="G48" s="122"/>
      <c r="H48" s="122"/>
    </row>
    <row r="49" spans="1:8">
      <c r="A49" s="483" t="s">
        <v>2948</v>
      </c>
      <c r="B49" s="125"/>
      <c r="C49" s="125"/>
      <c r="D49" s="483" t="s">
        <v>103</v>
      </c>
      <c r="E49" s="126"/>
      <c r="F49" s="126" t="s">
        <v>3</v>
      </c>
      <c r="G49" s="126"/>
      <c r="H49" s="126"/>
    </row>
    <row r="50" spans="1:8">
      <c r="A50"/>
      <c r="B50"/>
      <c r="C50"/>
      <c r="D50"/>
      <c r="E50"/>
      <c r="F50" s="483" t="s">
        <v>2</v>
      </c>
      <c r="G50"/>
      <c r="H50"/>
    </row>
    <row r="52" spans="1:8">
      <c r="A52"/>
      <c r="B52"/>
      <c r="C52"/>
      <c r="D52"/>
      <c r="E52"/>
      <c r="F52" s="482" t="s">
        <v>1</v>
      </c>
      <c r="G52"/>
      <c r="H52"/>
    </row>
    <row r="53" spans="1:8">
      <c r="F53" s="482" t="s">
        <v>0</v>
      </c>
      <c r="G53"/>
    </row>
    <row r="58" spans="1:8">
      <c r="D58"/>
      <c r="E58"/>
      <c r="F58"/>
      <c r="G58"/>
      <c r="H58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5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88BF9-DC3E-48A8-B48A-1DBB82AFDFAA}">
  <sheetPr codeName="Sheet619"/>
  <dimension ref="A1:I62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1.7109375" style="227" customWidth="1"/>
    <col min="3" max="3" width="1.42578125" style="227" customWidth="1"/>
    <col min="4" max="4" width="19.85546875" style="227" customWidth="1"/>
    <col min="5" max="5" width="0.85546875" style="227" customWidth="1"/>
    <col min="6" max="6" width="14" style="227" customWidth="1"/>
    <col min="7" max="7" width="11.42578125" style="227" customWidth="1"/>
    <col min="8" max="8" width="13.28515625" style="227" customWidth="1"/>
    <col min="9" max="9" width="16.140625" style="209" customWidth="1"/>
    <col min="10" max="11" width="9.140625" style="209"/>
    <col min="12" max="12" width="9.7109375" style="209" bestFit="1" customWidth="1"/>
    <col min="13" max="16384" width="9.140625" style="209"/>
  </cols>
  <sheetData>
    <row r="1" spans="1:9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9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9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9" ht="12.75" customHeight="1">
      <c r="A4" s="532" t="s">
        <v>1684</v>
      </c>
      <c r="B4" s="532"/>
      <c r="C4" s="532"/>
      <c r="D4" s="532"/>
      <c r="E4" s="532"/>
      <c r="F4" s="532"/>
      <c r="G4" s="532"/>
      <c r="H4" s="532"/>
    </row>
    <row r="5" spans="1:9" ht="12.75" hidden="1" customHeight="1">
      <c r="A5" s="488"/>
      <c r="B5" s="488"/>
      <c r="C5" s="488"/>
      <c r="D5" s="488"/>
      <c r="E5" s="488"/>
      <c r="F5" s="488"/>
      <c r="G5" s="488"/>
      <c r="H5" s="488"/>
    </row>
    <row r="6" spans="1:9" ht="12.75" hidden="1" customHeight="1">
      <c r="A6" s="488"/>
      <c r="B6" s="488"/>
      <c r="C6" s="488"/>
      <c r="D6" s="488"/>
      <c r="E6" s="488"/>
      <c r="F6" s="488"/>
      <c r="G6" s="488"/>
      <c r="H6" s="488"/>
    </row>
    <row r="7" spans="1:9" ht="12.75" customHeight="1">
      <c r="A7" s="488"/>
      <c r="B7" s="488"/>
      <c r="C7" s="488"/>
      <c r="D7" s="488"/>
      <c r="E7" s="488"/>
      <c r="F7" s="488"/>
      <c r="G7" s="488"/>
      <c r="H7" s="488"/>
    </row>
    <row r="8" spans="1:9" s="211" customFormat="1" ht="12.75" customHeight="1">
      <c r="A8" s="490" t="s">
        <v>24</v>
      </c>
      <c r="B8" s="490"/>
      <c r="C8" s="490"/>
      <c r="D8" s="490"/>
      <c r="E8" s="490"/>
      <c r="F8" s="210" t="s">
        <v>23</v>
      </c>
      <c r="G8" s="490"/>
      <c r="H8" s="490"/>
    </row>
    <row r="9" spans="1:9" s="211" customFormat="1" ht="12.75" customHeight="1">
      <c r="A9" s="490"/>
      <c r="B9" s="490"/>
      <c r="C9" s="490"/>
      <c r="D9" s="490"/>
      <c r="E9" s="490"/>
      <c r="F9" s="212" t="s">
        <v>1723</v>
      </c>
      <c r="G9" s="483" t="s">
        <v>6872</v>
      </c>
      <c r="H9" s="483"/>
    </row>
    <row r="10" spans="1:9" s="211" customFormat="1" ht="12.75" customHeight="1">
      <c r="A10" s="490" t="s">
        <v>6874</v>
      </c>
      <c r="B10" s="490"/>
      <c r="C10" s="490"/>
      <c r="D10" s="490"/>
      <c r="E10" s="490"/>
      <c r="F10" s="212" t="s">
        <v>1340</v>
      </c>
      <c r="G10" s="484" t="s">
        <v>6861</v>
      </c>
      <c r="H10" s="483"/>
    </row>
    <row r="11" spans="1:9" s="211" customFormat="1" ht="12.75" customHeight="1">
      <c r="A11" s="490" t="s">
        <v>6875</v>
      </c>
      <c r="B11" s="490"/>
      <c r="C11" s="490"/>
      <c r="D11" s="490"/>
      <c r="E11" s="490"/>
      <c r="F11" s="212" t="s">
        <v>1341</v>
      </c>
      <c r="G11" s="484" t="s">
        <v>1094</v>
      </c>
      <c r="H11" s="483"/>
    </row>
    <row r="12" spans="1:9" s="211" customFormat="1" ht="12.75" customHeight="1">
      <c r="A12" s="490" t="s">
        <v>6876</v>
      </c>
      <c r="B12" s="490"/>
      <c r="C12" s="490"/>
      <c r="D12" s="490"/>
      <c r="E12" s="490"/>
      <c r="F12" s="212" t="s">
        <v>2136</v>
      </c>
      <c r="G12" s="484" t="s">
        <v>6873</v>
      </c>
      <c r="H12" s="483"/>
    </row>
    <row r="13" spans="1:9" s="211" customFormat="1" ht="12.75" customHeight="1">
      <c r="A13" s="490" t="s">
        <v>6877</v>
      </c>
      <c r="B13" s="490"/>
      <c r="C13" s="490"/>
      <c r="D13" s="490"/>
      <c r="E13" s="490"/>
      <c r="F13" s="490"/>
      <c r="G13" s="483" t="s">
        <v>6182</v>
      </c>
      <c r="H13" s="483"/>
    </row>
    <row r="14" spans="1:9" s="211" customFormat="1" ht="12.75" customHeight="1">
      <c r="A14" s="490" t="s">
        <v>1287</v>
      </c>
      <c r="B14" s="490"/>
      <c r="C14" s="490"/>
      <c r="D14" s="490"/>
      <c r="E14" s="490"/>
      <c r="F14" s="490"/>
      <c r="G14" s="490"/>
      <c r="H14" s="490"/>
    </row>
    <row r="15" spans="1:9" s="213" customFormat="1" ht="12.75" customHeight="1">
      <c r="A15" s="490"/>
      <c r="B15" s="490"/>
      <c r="C15" s="490"/>
      <c r="D15" s="490"/>
      <c r="E15" s="490"/>
      <c r="F15" s="490"/>
      <c r="G15" s="490"/>
      <c r="H15" s="490"/>
    </row>
    <row r="16" spans="1:9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I16" s="214"/>
    </row>
    <row r="17" spans="1:9" s="213" customFormat="1" ht="12.75" customHeight="1">
      <c r="A17" s="215"/>
      <c r="B17" s="216"/>
      <c r="C17" s="216"/>
      <c r="D17" s="217"/>
      <c r="E17" s="217"/>
      <c r="F17" s="216"/>
      <c r="G17" s="218"/>
      <c r="H17" s="219"/>
      <c r="I17" s="214"/>
    </row>
    <row r="18" spans="1:9" s="213" customFormat="1" ht="12.75" customHeight="1">
      <c r="A18" s="492"/>
      <c r="B18" s="281"/>
      <c r="C18" s="281"/>
      <c r="D18" s="319" t="s">
        <v>6878</v>
      </c>
      <c r="E18" s="494"/>
      <c r="F18" s="494"/>
      <c r="G18" s="494"/>
      <c r="H18" s="320"/>
      <c r="I18" s="318"/>
    </row>
    <row r="19" spans="1:9" s="213" customFormat="1" ht="12.75" customHeight="1">
      <c r="A19" s="495"/>
      <c r="B19" s="281"/>
      <c r="C19" s="281"/>
      <c r="D19" s="319" t="s">
        <v>6879</v>
      </c>
      <c r="E19" s="494"/>
      <c r="F19" s="494"/>
      <c r="G19" s="494"/>
      <c r="H19" s="320"/>
      <c r="I19" s="318"/>
    </row>
    <row r="20" spans="1:9" s="213" customFormat="1" ht="12.75" customHeight="1">
      <c r="A20" s="492"/>
      <c r="B20" s="281"/>
      <c r="C20" s="281"/>
      <c r="D20" s="494"/>
      <c r="E20" s="494"/>
      <c r="F20" s="494"/>
      <c r="G20" s="494"/>
      <c r="H20" s="320"/>
      <c r="I20" s="318"/>
    </row>
    <row r="21" spans="1:9" s="213" customFormat="1" ht="12.75" customHeight="1">
      <c r="A21" s="495" t="s">
        <v>6880</v>
      </c>
      <c r="B21" s="281" t="s">
        <v>6881</v>
      </c>
      <c r="C21" s="281"/>
      <c r="D21" s="494" t="s">
        <v>6882</v>
      </c>
      <c r="E21" s="494"/>
      <c r="F21" s="494"/>
      <c r="G21" s="494"/>
      <c r="H21" s="320">
        <f>200*16</f>
        <v>3200</v>
      </c>
      <c r="I21" s="318"/>
    </row>
    <row r="22" spans="1:9" s="213" customFormat="1" ht="12.75" customHeight="1">
      <c r="D22" s="494"/>
      <c r="E22" s="494"/>
      <c r="F22" s="494"/>
      <c r="G22" s="494"/>
      <c r="H22" s="320"/>
      <c r="I22" s="318"/>
    </row>
    <row r="23" spans="1:9" s="227" customFormat="1" ht="12.75" customHeight="1">
      <c r="C23" s="281"/>
      <c r="D23" s="319"/>
      <c r="E23" s="494"/>
      <c r="F23" s="494"/>
      <c r="G23" s="494"/>
      <c r="H23" s="320"/>
    </row>
    <row r="24" spans="1:9" s="227" customFormat="1" ht="12.75" customHeight="1">
      <c r="A24" s="492"/>
      <c r="B24" s="281"/>
      <c r="C24" s="281"/>
      <c r="D24" s="494"/>
      <c r="E24" s="494"/>
      <c r="F24" s="494"/>
      <c r="G24" s="494"/>
      <c r="H24" s="320"/>
    </row>
    <row r="25" spans="1:9" s="227" customFormat="1" ht="12.75" customHeight="1">
      <c r="A25" s="492"/>
      <c r="B25" s="281"/>
      <c r="C25" s="281"/>
      <c r="D25" s="494"/>
      <c r="E25" s="494"/>
      <c r="F25" s="494"/>
      <c r="G25" s="494"/>
      <c r="H25" s="320"/>
    </row>
    <row r="26" spans="1:9" s="227" customFormat="1" ht="12.75" customHeight="1">
      <c r="A26" s="492"/>
      <c r="B26" s="281"/>
      <c r="C26" s="281"/>
      <c r="D26" s="494"/>
      <c r="E26" s="494"/>
      <c r="F26" s="494"/>
      <c r="G26" s="494"/>
      <c r="H26" s="320"/>
    </row>
    <row r="27" spans="1:9" s="227" customFormat="1" ht="12.75" customHeight="1">
      <c r="A27" s="495"/>
      <c r="B27" s="281"/>
      <c r="C27" s="281"/>
      <c r="D27" s="494"/>
      <c r="E27" s="494"/>
      <c r="F27" s="494"/>
      <c r="G27" s="494"/>
      <c r="H27" s="320"/>
    </row>
    <row r="28" spans="1:9" s="227" customFormat="1" ht="12.75" customHeight="1">
      <c r="A28" s="492"/>
      <c r="B28" s="281"/>
      <c r="C28" s="281"/>
      <c r="D28" s="494"/>
      <c r="E28" s="494"/>
      <c r="F28" s="494"/>
      <c r="G28" s="494"/>
      <c r="H28" s="320"/>
    </row>
    <row r="29" spans="1:9" s="227" customFormat="1" ht="12.75" customHeight="1">
      <c r="A29" s="492"/>
      <c r="B29" s="281"/>
      <c r="C29" s="281"/>
      <c r="D29" s="319"/>
      <c r="E29" s="494"/>
      <c r="F29" s="494"/>
      <c r="G29" s="494"/>
      <c r="H29" s="320"/>
    </row>
    <row r="30" spans="1:9" s="227" customFormat="1" ht="12.75" customHeight="1">
      <c r="A30" s="492"/>
      <c r="B30" s="281"/>
      <c r="C30" s="281"/>
      <c r="D30" s="494"/>
      <c r="E30" s="494"/>
      <c r="F30" s="494"/>
      <c r="G30" s="494"/>
      <c r="H30" s="320"/>
    </row>
    <row r="31" spans="1:9" s="227" customFormat="1" ht="12.75" customHeight="1">
      <c r="A31" s="495"/>
      <c r="B31" s="281"/>
      <c r="C31" s="281"/>
      <c r="D31" s="319"/>
      <c r="E31" s="494"/>
      <c r="F31" s="494"/>
      <c r="G31" s="494"/>
      <c r="H31" s="320"/>
    </row>
    <row r="32" spans="1:9" s="227" customFormat="1" ht="12.75" customHeight="1">
      <c r="A32" s="495"/>
      <c r="B32" s="281"/>
      <c r="C32" s="281"/>
      <c r="D32" s="319"/>
      <c r="E32" s="494"/>
      <c r="F32" s="494"/>
      <c r="G32" s="494"/>
      <c r="H32" s="320"/>
    </row>
    <row r="33" spans="1:9" s="227" customFormat="1" ht="12.75" customHeight="1">
      <c r="A33" s="492"/>
      <c r="B33" s="281"/>
      <c r="C33" s="281"/>
      <c r="D33" s="494"/>
      <c r="E33" s="494"/>
      <c r="F33" s="494"/>
      <c r="G33" s="494"/>
      <c r="H33" s="320"/>
    </row>
    <row r="34" spans="1:9" s="227" customFormat="1" ht="12.75" customHeight="1">
      <c r="A34" s="495"/>
      <c r="B34" s="281"/>
      <c r="C34" s="281"/>
      <c r="D34" s="494"/>
      <c r="E34" s="494"/>
      <c r="F34" s="494"/>
      <c r="G34" s="494"/>
      <c r="H34" s="320"/>
    </row>
    <row r="35" spans="1:9" s="227" customFormat="1" ht="12.75" customHeight="1">
      <c r="A35" s="495"/>
      <c r="B35" s="281"/>
      <c r="C35" s="281"/>
      <c r="D35" s="319"/>
      <c r="E35" s="494"/>
      <c r="F35" s="494"/>
      <c r="G35" s="494"/>
      <c r="H35" s="320"/>
    </row>
    <row r="36" spans="1:9" s="227" customFormat="1" ht="12.75" customHeight="1">
      <c r="A36" s="495"/>
      <c r="B36" s="281"/>
      <c r="C36" s="281"/>
      <c r="D36" s="494"/>
      <c r="E36" s="494"/>
      <c r="F36" s="494"/>
      <c r="G36" s="494"/>
      <c r="H36" s="320"/>
    </row>
    <row r="37" spans="1:9" s="211" customFormat="1" ht="15.75" customHeight="1" thickBot="1">
      <c r="A37" s="229"/>
      <c r="B37" s="224"/>
      <c r="C37" s="224"/>
      <c r="D37" s="224"/>
      <c r="E37" s="224"/>
      <c r="F37" s="224"/>
      <c r="G37" s="224"/>
      <c r="H37" s="328">
        <f>SUM(H18:H36)</f>
        <v>3200</v>
      </c>
      <c r="I37" s="221"/>
    </row>
    <row r="38" spans="1:9" s="211" customFormat="1" ht="12.75" customHeight="1" thickTop="1">
      <c r="A38" s="229"/>
      <c r="B38" s="224"/>
      <c r="C38" s="224"/>
      <c r="D38" s="224"/>
      <c r="E38" s="224"/>
      <c r="F38" s="224"/>
      <c r="G38" s="224"/>
      <c r="H38" s="224"/>
      <c r="I38" s="221"/>
    </row>
    <row r="39" spans="1:9" ht="20.100000000000001" customHeight="1">
      <c r="A39" s="138" t="s">
        <v>1133</v>
      </c>
      <c r="B39" s="204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Three Thousand Two Hundred and NO/100 -----------</v>
      </c>
      <c r="C39" s="204"/>
      <c r="D39" s="231"/>
      <c r="E39" s="231"/>
      <c r="F39" s="231"/>
      <c r="G39" s="231"/>
      <c r="H39" s="231"/>
    </row>
    <row r="40" spans="1:9" ht="12.75" customHeight="1">
      <c r="A40" s="232"/>
    </row>
    <row r="41" spans="1:9" ht="27" customHeight="1">
      <c r="A41" s="488" t="s">
        <v>10</v>
      </c>
      <c r="B41" s="488"/>
      <c r="C41" s="488"/>
      <c r="D41" s="488"/>
      <c r="E41" s="488"/>
      <c r="F41" s="283" t="s">
        <v>2894</v>
      </c>
      <c r="G41" s="284"/>
      <c r="H41" s="285"/>
    </row>
    <row r="42" spans="1:9" ht="12.75" customHeight="1">
      <c r="A42" s="488"/>
      <c r="B42" s="488"/>
      <c r="C42" s="488"/>
      <c r="D42" s="488"/>
      <c r="E42" s="488"/>
      <c r="F42" s="488"/>
      <c r="G42" s="488"/>
      <c r="H42" s="488"/>
    </row>
    <row r="43" spans="1:9" ht="12.75" customHeight="1">
      <c r="A43" s="488"/>
      <c r="B43" s="488"/>
      <c r="C43" s="488"/>
      <c r="D43" s="488"/>
      <c r="E43" s="488"/>
      <c r="F43" s="488"/>
      <c r="G43" s="488"/>
      <c r="H43" s="488"/>
    </row>
    <row r="44" spans="1:9">
      <c r="A44" s="301"/>
      <c r="B44" s="488"/>
      <c r="C44" s="488"/>
      <c r="D44" s="488"/>
      <c r="E44" s="488"/>
      <c r="F44" s="291"/>
      <c r="G44" s="291"/>
      <c r="H44" s="291"/>
    </row>
    <row r="45" spans="1:9">
      <c r="A45" s="248"/>
      <c r="B45" s="142"/>
      <c r="C45" s="488"/>
      <c r="D45" s="488"/>
      <c r="E45" s="488"/>
      <c r="F45" s="286"/>
      <c r="G45" s="287"/>
      <c r="H45" s="287"/>
    </row>
    <row r="46" spans="1:9" ht="12.75" customHeight="1">
      <c r="A46" s="301"/>
      <c r="B46" s="301"/>
      <c r="C46" s="301"/>
      <c r="D46" s="488"/>
      <c r="E46" s="488"/>
      <c r="F46" s="488"/>
      <c r="G46" s="488"/>
      <c r="H46" s="144"/>
    </row>
    <row r="47" spans="1:9" ht="12.75" customHeight="1">
      <c r="A47" s="301"/>
      <c r="B47" s="301"/>
      <c r="C47" s="301"/>
      <c r="D47" s="301"/>
      <c r="E47" s="488"/>
      <c r="F47" s="488"/>
      <c r="G47" s="488"/>
      <c r="H47" s="144"/>
    </row>
    <row r="48" spans="1:9" ht="12.75" customHeight="1">
      <c r="A48" s="493" t="s">
        <v>8</v>
      </c>
      <c r="B48" s="488"/>
      <c r="C48" s="488"/>
      <c r="D48" s="493" t="s">
        <v>8</v>
      </c>
      <c r="E48" s="488"/>
      <c r="F48" s="488"/>
      <c r="G48" s="488"/>
      <c r="H48" s="488"/>
    </row>
    <row r="49" spans="1:8" ht="12.75" customHeight="1">
      <c r="A49" s="301"/>
      <c r="B49" s="488"/>
      <c r="C49" s="488"/>
      <c r="D49" s="301"/>
      <c r="E49" s="488"/>
      <c r="F49" s="493" t="s">
        <v>7</v>
      </c>
      <c r="G49" s="488"/>
      <c r="H49" s="488"/>
    </row>
    <row r="50" spans="1:8" ht="12.75" customHeight="1">
      <c r="A50" s="493"/>
      <c r="B50" s="488"/>
      <c r="C50" s="488"/>
      <c r="D50" s="493"/>
      <c r="E50" s="488"/>
      <c r="F50" s="488"/>
      <c r="G50" s="488"/>
      <c r="H50" s="488"/>
    </row>
    <row r="51" spans="1:8" ht="12.75" customHeight="1">
      <c r="A51" s="493"/>
      <c r="B51" s="488"/>
      <c r="C51" s="488"/>
      <c r="D51" s="493"/>
      <c r="E51" s="488"/>
      <c r="F51" s="488"/>
      <c r="G51" s="488"/>
      <c r="H51" s="488"/>
    </row>
    <row r="52" spans="1:8" s="211" customFormat="1" ht="12.75" customHeight="1">
      <c r="A52" s="493"/>
      <c r="B52" s="488"/>
      <c r="C52" s="488"/>
      <c r="D52" s="493"/>
      <c r="E52" s="488"/>
      <c r="F52" s="488"/>
      <c r="G52" s="490"/>
      <c r="H52" s="490"/>
    </row>
    <row r="53" spans="1:8" ht="12.75" customHeight="1">
      <c r="A53" s="248"/>
      <c r="B53" s="142"/>
      <c r="C53" s="488"/>
      <c r="D53" s="248"/>
      <c r="E53" s="142"/>
      <c r="F53" s="142"/>
      <c r="G53" s="142"/>
      <c r="H53" s="142"/>
    </row>
    <row r="54" spans="1:8" ht="15" customHeight="1">
      <c r="A54" s="493" t="s">
        <v>2948</v>
      </c>
      <c r="B54" s="146"/>
      <c r="C54" s="146"/>
      <c r="D54" s="493" t="s">
        <v>103</v>
      </c>
      <c r="E54" s="146"/>
      <c r="F54" s="490" t="s">
        <v>3</v>
      </c>
      <c r="G54" s="488"/>
      <c r="H54" s="488"/>
    </row>
    <row r="55" spans="1:8" ht="12.75" customHeight="1">
      <c r="A55" s="493"/>
      <c r="B55" s="488"/>
      <c r="C55" s="488"/>
      <c r="D55" s="488"/>
      <c r="E55" s="488"/>
      <c r="F55" s="488" t="s">
        <v>2</v>
      </c>
      <c r="G55" s="488"/>
      <c r="H55" s="488"/>
    </row>
    <row r="56" spans="1:8" ht="12.75" customHeight="1">
      <c r="A56" s="488"/>
      <c r="B56" s="488"/>
      <c r="C56" s="488"/>
      <c r="D56" s="488"/>
      <c r="E56" s="488"/>
      <c r="F56" s="488"/>
      <c r="G56" s="488"/>
      <c r="H56" s="488"/>
    </row>
    <row r="57" spans="1:8" ht="12.75" customHeight="1">
      <c r="A57" s="488"/>
      <c r="B57" s="488"/>
      <c r="C57" s="488"/>
      <c r="D57" s="488"/>
      <c r="E57" s="488"/>
      <c r="F57" s="491" t="s">
        <v>1</v>
      </c>
      <c r="G57" s="488"/>
      <c r="H57" s="488"/>
    </row>
    <row r="58" spans="1:8" ht="12.75" customHeight="1">
      <c r="A58" s="488"/>
      <c r="B58" s="488"/>
      <c r="C58" s="488"/>
      <c r="D58" s="488"/>
      <c r="E58" s="488"/>
      <c r="F58" s="491" t="s">
        <v>0</v>
      </c>
      <c r="G58" s="488"/>
      <c r="H58" s="488"/>
    </row>
    <row r="59" spans="1:8" ht="12.75" customHeight="1">
      <c r="A59" s="488"/>
      <c r="B59" s="488"/>
      <c r="C59" s="488"/>
      <c r="D59" s="488"/>
      <c r="E59" s="488"/>
      <c r="F59" s="488"/>
      <c r="G59" s="488"/>
      <c r="H59" s="488"/>
    </row>
    <row r="60" spans="1:8" ht="12.75" customHeight="1">
      <c r="A60" s="488"/>
      <c r="B60" s="488"/>
      <c r="C60" s="488"/>
      <c r="D60" s="488"/>
      <c r="E60" s="488"/>
      <c r="F60" s="488"/>
      <c r="G60" s="488"/>
      <c r="H60" s="488"/>
    </row>
    <row r="61" spans="1:8">
      <c r="A61" s="488"/>
      <c r="B61" s="488"/>
      <c r="C61" s="488"/>
      <c r="D61" s="488"/>
      <c r="E61" s="488"/>
      <c r="F61" s="488"/>
      <c r="G61" s="488"/>
      <c r="H61" s="488"/>
    </row>
    <row r="62" spans="1:8">
      <c r="A62" s="488"/>
      <c r="B62" s="488"/>
      <c r="C62" s="488"/>
      <c r="D62" s="488"/>
      <c r="E62" s="488"/>
      <c r="F62" s="488"/>
      <c r="G62" s="488"/>
      <c r="H62" s="488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90" orientation="portrait" r:id="rId1"/>
  <headerFooter alignWithMargins="0"/>
</worksheet>
</file>

<file path=xl/worksheets/sheet5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AEDDC-2965-4E14-A5D1-1D1AB2EA4AF1}">
  <dimension ref="A1:I58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2.5703125" style="227" customWidth="1"/>
    <col min="3" max="3" width="1.42578125" style="227" customWidth="1"/>
    <col min="4" max="4" width="19.85546875" style="227" customWidth="1"/>
    <col min="5" max="5" width="0.85546875" style="227" customWidth="1"/>
    <col min="6" max="6" width="16.42578125" style="227" customWidth="1"/>
    <col min="7" max="7" width="11.42578125" style="227" customWidth="1"/>
    <col min="8" max="8" width="13.28515625" style="227" customWidth="1"/>
    <col min="9" max="9" width="16.140625" style="209" customWidth="1"/>
    <col min="10" max="11" width="9.140625" style="209"/>
    <col min="12" max="12" width="9.7109375" style="209" bestFit="1" customWidth="1"/>
    <col min="13" max="16384" width="9.140625" style="209"/>
  </cols>
  <sheetData>
    <row r="1" spans="1:9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9" ht="15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9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9">
      <c r="A4" s="532" t="s">
        <v>1684</v>
      </c>
      <c r="B4" s="532"/>
      <c r="C4" s="532"/>
      <c r="D4" s="532"/>
      <c r="E4" s="532"/>
      <c r="F4" s="532"/>
      <c r="G4" s="532"/>
      <c r="H4" s="532"/>
    </row>
    <row r="5" spans="1:9" ht="12.75" customHeight="1">
      <c r="A5" s="488"/>
      <c r="B5" s="488"/>
      <c r="C5" s="488"/>
      <c r="D5" s="488"/>
      <c r="E5" s="488"/>
      <c r="F5" s="488"/>
      <c r="G5" s="488"/>
      <c r="H5" s="488"/>
    </row>
    <row r="6" spans="1:9" ht="12.75" customHeight="1">
      <c r="A6" s="488"/>
      <c r="B6" s="488"/>
      <c r="C6" s="488"/>
      <c r="D6" s="488"/>
      <c r="E6" s="488"/>
      <c r="F6" s="488"/>
      <c r="G6" s="488"/>
      <c r="H6" s="488"/>
    </row>
    <row r="7" spans="1:9" s="211" customFormat="1" ht="12.75" customHeight="1">
      <c r="A7" s="490" t="s">
        <v>24</v>
      </c>
      <c r="B7" s="490"/>
      <c r="C7" s="490"/>
      <c r="D7" s="490"/>
      <c r="E7" s="490"/>
      <c r="F7" s="210" t="s">
        <v>23</v>
      </c>
      <c r="G7" s="490"/>
      <c r="H7" s="490"/>
    </row>
    <row r="8" spans="1:9" s="211" customFormat="1" ht="12.75" customHeight="1">
      <c r="A8" s="490" t="s">
        <v>6940</v>
      </c>
      <c r="B8" s="490"/>
      <c r="C8" s="490"/>
      <c r="D8" s="490"/>
      <c r="E8" s="490"/>
      <c r="F8" s="212" t="s">
        <v>1723</v>
      </c>
      <c r="G8" s="489" t="s">
        <v>6938</v>
      </c>
      <c r="H8" s="488"/>
    </row>
    <row r="9" spans="1:9" s="211" customFormat="1" ht="12.75" customHeight="1">
      <c r="A9" s="490" t="s">
        <v>6941</v>
      </c>
      <c r="B9" s="490"/>
      <c r="C9" s="490"/>
      <c r="D9" s="490"/>
      <c r="E9" s="490"/>
      <c r="F9" s="212" t="s">
        <v>1340</v>
      </c>
      <c r="G9" s="489" t="s">
        <v>6930</v>
      </c>
      <c r="H9" s="488"/>
    </row>
    <row r="10" spans="1:9" s="211" customFormat="1" ht="12.75" customHeight="1">
      <c r="A10" s="490" t="s">
        <v>1154</v>
      </c>
      <c r="B10" s="490"/>
      <c r="C10" s="490"/>
      <c r="D10" s="490"/>
      <c r="E10" s="490"/>
      <c r="F10" s="212" t="s">
        <v>1341</v>
      </c>
      <c r="G10" s="489" t="s">
        <v>1094</v>
      </c>
      <c r="H10" s="488"/>
    </row>
    <row r="11" spans="1:9" s="211" customFormat="1" ht="12.75" customHeight="1">
      <c r="A11" s="490" t="s">
        <v>6942</v>
      </c>
      <c r="B11" s="490"/>
      <c r="C11" s="490"/>
      <c r="D11" s="490"/>
      <c r="E11" s="490"/>
      <c r="F11" s="212" t="s">
        <v>2136</v>
      </c>
      <c r="G11" s="483" t="s">
        <v>6939</v>
      </c>
      <c r="H11" s="488"/>
    </row>
    <row r="12" spans="1:9" s="211" customFormat="1" ht="12.75" customHeight="1">
      <c r="A12" s="490"/>
      <c r="B12" s="490"/>
      <c r="C12" s="490"/>
      <c r="D12" s="490"/>
      <c r="E12" s="490"/>
      <c r="F12" s="490"/>
      <c r="G12" s="483" t="s">
        <v>6182</v>
      </c>
      <c r="H12" s="490"/>
    </row>
    <row r="13" spans="1:9" s="211" customFormat="1" ht="12.75" customHeight="1">
      <c r="A13" s="490"/>
      <c r="B13" s="490"/>
      <c r="C13" s="490"/>
      <c r="D13" s="490"/>
      <c r="E13" s="490"/>
      <c r="F13" s="490"/>
      <c r="G13" s="490"/>
      <c r="H13" s="490"/>
    </row>
    <row r="14" spans="1:9" s="213" customFormat="1" ht="12.75" customHeight="1">
      <c r="A14" s="490"/>
      <c r="B14" s="490"/>
      <c r="C14" s="490"/>
      <c r="D14" s="490"/>
      <c r="E14" s="490"/>
      <c r="F14" s="490"/>
      <c r="G14" s="490"/>
      <c r="H14" s="490"/>
    </row>
    <row r="15" spans="1:9" s="213" customFormat="1">
      <c r="A15" s="91" t="s">
        <v>1122</v>
      </c>
      <c r="B15" s="91" t="s">
        <v>1098</v>
      </c>
      <c r="C15" s="91"/>
      <c r="D15" s="92" t="s">
        <v>14</v>
      </c>
      <c r="E15" s="92"/>
      <c r="F15" s="90"/>
      <c r="G15" s="91"/>
      <c r="H15" s="94" t="s">
        <v>13</v>
      </c>
      <c r="I15" s="214"/>
    </row>
    <row r="16" spans="1:9" s="213" customFormat="1" ht="12.75" customHeight="1">
      <c r="A16" s="215"/>
      <c r="B16" s="216"/>
      <c r="C16" s="216"/>
      <c r="D16" s="217"/>
      <c r="E16" s="217"/>
      <c r="F16" s="216"/>
      <c r="G16" s="218"/>
      <c r="H16" s="219"/>
      <c r="I16" s="214"/>
    </row>
    <row r="17" spans="1:9" s="213" customFormat="1" ht="12.75" customHeight="1">
      <c r="A17" s="227"/>
      <c r="B17" s="227"/>
      <c r="C17" s="281"/>
      <c r="D17" s="319" t="s">
        <v>6943</v>
      </c>
      <c r="E17" s="494"/>
      <c r="F17" s="494"/>
      <c r="G17" s="494"/>
      <c r="H17" s="320"/>
      <c r="I17" s="318"/>
    </row>
    <row r="18" spans="1:9" s="213" customFormat="1" ht="12.75" customHeight="1">
      <c r="A18" s="495"/>
      <c r="B18" s="281"/>
      <c r="C18" s="281"/>
      <c r="D18" s="494"/>
      <c r="E18" s="494"/>
      <c r="F18" s="494"/>
      <c r="G18" s="494"/>
      <c r="H18" s="320"/>
      <c r="I18" s="318"/>
    </row>
    <row r="19" spans="1:9" s="213" customFormat="1" ht="12.75" customHeight="1">
      <c r="A19" s="495" t="s">
        <v>6944</v>
      </c>
      <c r="B19" s="281" t="s">
        <v>6945</v>
      </c>
      <c r="C19" s="281"/>
      <c r="D19" s="494" t="s">
        <v>6946</v>
      </c>
      <c r="E19" s="494"/>
      <c r="F19" s="494"/>
      <c r="G19" s="494"/>
      <c r="H19" s="320">
        <v>1040</v>
      </c>
      <c r="I19" s="318"/>
    </row>
    <row r="20" spans="1:9" s="213" customFormat="1" ht="12.75" customHeight="1">
      <c r="A20" s="495"/>
      <c r="B20" s="281"/>
      <c r="C20" s="281"/>
      <c r="D20" s="494" t="s">
        <v>6947</v>
      </c>
      <c r="E20" s="494"/>
      <c r="F20" s="494"/>
      <c r="G20" s="494"/>
      <c r="H20" s="320">
        <v>1560</v>
      </c>
      <c r="I20" s="318"/>
    </row>
    <row r="21" spans="1:9" s="213" customFormat="1" ht="12.75" customHeight="1">
      <c r="A21" s="492"/>
      <c r="B21" s="281"/>
      <c r="C21" s="281"/>
      <c r="D21" s="494" t="s">
        <v>6948</v>
      </c>
      <c r="E21" s="494"/>
      <c r="F21" s="494"/>
      <c r="G21" s="494"/>
      <c r="H21" s="320">
        <v>600</v>
      </c>
      <c r="I21" s="318"/>
    </row>
    <row r="22" spans="1:9" s="227" customFormat="1" ht="12.75" customHeight="1">
      <c r="A22" s="495"/>
      <c r="B22" s="281"/>
      <c r="C22" s="281"/>
      <c r="D22" s="494"/>
      <c r="E22" s="494"/>
      <c r="F22" s="494"/>
      <c r="G22" s="494"/>
      <c r="H22" s="320"/>
    </row>
    <row r="23" spans="1:9" s="227" customFormat="1" ht="12.75" customHeight="1">
      <c r="A23" s="495" t="s">
        <v>6944</v>
      </c>
      <c r="B23" s="281" t="s">
        <v>6949</v>
      </c>
      <c r="C23" s="281"/>
      <c r="D23" s="494" t="s">
        <v>6950</v>
      </c>
      <c r="E23" s="494"/>
      <c r="F23" s="494"/>
      <c r="G23" s="494"/>
      <c r="H23" s="320">
        <v>640</v>
      </c>
    </row>
    <row r="24" spans="1:9" s="227" customFormat="1" ht="12.75" customHeight="1">
      <c r="A24" s="495"/>
      <c r="B24" s="281"/>
      <c r="C24" s="281"/>
      <c r="D24" s="494" t="s">
        <v>6947</v>
      </c>
      <c r="E24" s="494"/>
      <c r="F24" s="494"/>
      <c r="G24" s="494"/>
      <c r="H24" s="320">
        <v>960</v>
      </c>
    </row>
    <row r="25" spans="1:9" s="227" customFormat="1" ht="12.75" customHeight="1">
      <c r="A25" s="495"/>
      <c r="B25" s="281"/>
      <c r="C25" s="281"/>
      <c r="D25" s="494" t="s">
        <v>6948</v>
      </c>
      <c r="E25" s="494"/>
      <c r="F25" s="494"/>
      <c r="G25" s="494"/>
      <c r="H25" s="320">
        <v>300</v>
      </c>
    </row>
    <row r="26" spans="1:9" s="227" customFormat="1" ht="12.75" customHeight="1">
      <c r="A26" s="495"/>
      <c r="B26" s="281"/>
      <c r="C26" s="281"/>
      <c r="D26" s="494"/>
      <c r="E26" s="494"/>
      <c r="F26" s="494"/>
      <c r="G26" s="494"/>
      <c r="H26" s="320"/>
    </row>
    <row r="27" spans="1:9" s="227" customFormat="1" ht="12.75" customHeight="1">
      <c r="A27" s="492"/>
      <c r="B27" s="281"/>
      <c r="C27" s="281"/>
      <c r="D27" s="494"/>
      <c r="E27" s="494"/>
      <c r="F27" s="494"/>
      <c r="G27" s="494"/>
      <c r="H27" s="320"/>
    </row>
    <row r="28" spans="1:9" s="227" customFormat="1" ht="12.75" customHeight="1">
      <c r="A28" s="495"/>
      <c r="B28" s="281"/>
      <c r="C28" s="281"/>
      <c r="D28" s="494"/>
      <c r="E28" s="494"/>
      <c r="F28" s="494"/>
      <c r="G28" s="494"/>
      <c r="H28" s="320"/>
    </row>
    <row r="29" spans="1:9" s="227" customFormat="1" ht="12.75" customHeight="1">
      <c r="A29" s="495"/>
      <c r="B29" s="281"/>
      <c r="C29" s="281"/>
      <c r="D29" s="319"/>
      <c r="E29" s="494"/>
      <c r="F29" s="494"/>
      <c r="G29" s="494"/>
      <c r="H29" s="320"/>
    </row>
    <row r="30" spans="1:9" s="227" customFormat="1" ht="12.75" customHeight="1">
      <c r="A30" s="495"/>
      <c r="B30" s="281"/>
      <c r="C30" s="281"/>
      <c r="D30" s="494"/>
      <c r="E30" s="494"/>
      <c r="F30" s="494"/>
      <c r="G30" s="494"/>
      <c r="H30" s="320"/>
    </row>
    <row r="31" spans="1:9" s="227" customFormat="1" ht="12.75" customHeight="1">
      <c r="A31" s="495"/>
      <c r="B31" s="281"/>
      <c r="C31" s="281"/>
      <c r="D31" s="494"/>
      <c r="E31" s="494"/>
      <c r="F31" s="494"/>
      <c r="G31" s="494"/>
      <c r="H31" s="320"/>
    </row>
    <row r="32" spans="1:9" s="227" customFormat="1" ht="15.75" customHeight="1">
      <c r="A32" s="495"/>
      <c r="B32" s="281"/>
      <c r="C32" s="281"/>
      <c r="D32" s="494"/>
      <c r="E32" s="494"/>
      <c r="F32" s="494"/>
      <c r="G32" s="494"/>
      <c r="H32" s="320"/>
    </row>
    <row r="33" spans="1:9" s="227" customFormat="1" ht="12.75" customHeight="1">
      <c r="A33" s="495"/>
      <c r="B33" s="281"/>
      <c r="C33" s="281"/>
      <c r="D33" s="494"/>
      <c r="E33" s="494"/>
      <c r="F33" s="494"/>
      <c r="G33" s="494"/>
      <c r="H33" s="320"/>
    </row>
    <row r="34" spans="1:9" s="211" customFormat="1" ht="15.75" customHeight="1" thickBot="1">
      <c r="A34" s="229"/>
      <c r="B34" s="224"/>
      <c r="C34" s="224"/>
      <c r="D34" s="224"/>
      <c r="E34" s="224"/>
      <c r="F34" s="224"/>
      <c r="G34" s="224"/>
      <c r="H34" s="230">
        <f>SUM(H17:H33)</f>
        <v>5100</v>
      </c>
      <c r="I34" s="221"/>
    </row>
    <row r="35" spans="1:9" s="211" customFormat="1" ht="12.75" customHeight="1" thickTop="1">
      <c r="A35" s="229"/>
      <c r="B35" s="224"/>
      <c r="C35" s="224"/>
      <c r="D35" s="224"/>
      <c r="E35" s="224"/>
      <c r="F35" s="224"/>
      <c r="G35" s="224"/>
      <c r="H35" s="224"/>
      <c r="I35" s="221"/>
    </row>
    <row r="36" spans="1:9" ht="20.100000000000001" customHeight="1">
      <c r="A36" s="138" t="s">
        <v>1133</v>
      </c>
      <c r="B36" s="204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Five Thousand One Hundred and NO/100 -----------</v>
      </c>
      <c r="C36" s="204"/>
      <c r="D36" s="231"/>
      <c r="E36" s="231"/>
      <c r="F36" s="231"/>
      <c r="G36" s="231"/>
      <c r="H36" s="231"/>
    </row>
    <row r="37" spans="1:9" ht="12.75" customHeight="1">
      <c r="A37" s="232"/>
    </row>
    <row r="38" spans="1:9" ht="27" customHeight="1">
      <c r="A38" s="488" t="s">
        <v>10</v>
      </c>
      <c r="B38" s="488"/>
      <c r="C38" s="488"/>
      <c r="D38" s="488"/>
      <c r="E38" s="488"/>
      <c r="F38" s="283" t="s">
        <v>2894</v>
      </c>
      <c r="G38" s="284"/>
      <c r="H38" s="285"/>
    </row>
    <row r="39" spans="1:9" ht="12.75" customHeight="1">
      <c r="A39" s="488"/>
      <c r="B39" s="488"/>
      <c r="C39" s="488"/>
      <c r="D39" s="488"/>
      <c r="E39" s="488"/>
      <c r="F39" s="488"/>
      <c r="G39" s="488"/>
      <c r="H39" s="488"/>
    </row>
    <row r="40" spans="1:9" ht="12.75" customHeight="1">
      <c r="A40" s="488"/>
      <c r="B40" s="488"/>
      <c r="C40" s="488"/>
      <c r="D40" s="488"/>
      <c r="E40" s="488"/>
      <c r="F40" s="488"/>
      <c r="G40" s="488"/>
      <c r="H40" s="488"/>
    </row>
    <row r="41" spans="1:9">
      <c r="A41" s="301"/>
      <c r="B41" s="488"/>
      <c r="C41" s="488"/>
      <c r="D41" s="488"/>
      <c r="E41" s="488"/>
      <c r="F41" s="291"/>
      <c r="G41" s="291"/>
      <c r="H41" s="291"/>
    </row>
    <row r="42" spans="1:9">
      <c r="A42" s="248"/>
      <c r="B42" s="142"/>
      <c r="C42" s="488"/>
      <c r="D42" s="488"/>
      <c r="E42" s="488"/>
      <c r="F42" s="286"/>
      <c r="G42" s="287"/>
      <c r="H42" s="287"/>
    </row>
    <row r="43" spans="1:9" ht="12.75" customHeight="1">
      <c r="A43" s="301"/>
      <c r="B43" s="301"/>
      <c r="C43" s="301"/>
      <c r="D43" s="488"/>
      <c r="E43" s="488"/>
      <c r="F43" s="488"/>
      <c r="G43" s="488"/>
      <c r="H43" s="144"/>
    </row>
    <row r="44" spans="1:9" ht="12.75" customHeight="1">
      <c r="A44" s="493" t="s">
        <v>8</v>
      </c>
      <c r="B44" s="488"/>
      <c r="C44" s="488"/>
      <c r="D44" s="493" t="s">
        <v>8</v>
      </c>
      <c r="E44" s="488"/>
      <c r="F44" s="488"/>
      <c r="G44" s="488"/>
      <c r="H44" s="488"/>
    </row>
    <row r="45" spans="1:9" ht="12.75" customHeight="1">
      <c r="A45" s="301"/>
      <c r="B45" s="488"/>
      <c r="C45" s="488"/>
      <c r="D45" s="301"/>
      <c r="E45" s="488"/>
      <c r="F45" s="493" t="s">
        <v>7</v>
      </c>
      <c r="G45" s="488"/>
      <c r="H45" s="488"/>
    </row>
    <row r="46" spans="1:9" ht="12.75" customHeight="1">
      <c r="A46" s="493"/>
      <c r="B46" s="488"/>
      <c r="C46" s="488"/>
      <c r="D46" s="493"/>
      <c r="E46" s="488"/>
      <c r="F46" s="488"/>
      <c r="G46" s="488"/>
      <c r="H46" s="488"/>
    </row>
    <row r="47" spans="1:9" ht="12.75" customHeight="1">
      <c r="A47" s="493"/>
      <c r="B47" s="488"/>
      <c r="C47" s="488"/>
      <c r="D47" s="493"/>
      <c r="E47" s="488"/>
      <c r="F47" s="488"/>
      <c r="G47" s="488"/>
      <c r="H47" s="488"/>
    </row>
    <row r="48" spans="1:9" s="211" customFormat="1" ht="12.75" customHeight="1">
      <c r="A48" s="493"/>
      <c r="B48" s="488"/>
      <c r="C48" s="488"/>
      <c r="D48" s="493"/>
      <c r="E48" s="488"/>
      <c r="F48" s="488"/>
      <c r="G48" s="490"/>
      <c r="H48" s="490"/>
    </row>
    <row r="49" spans="1:8" ht="12.75" customHeight="1">
      <c r="A49" s="248"/>
      <c r="B49" s="142"/>
      <c r="C49" s="488"/>
      <c r="D49" s="248"/>
      <c r="E49" s="488"/>
      <c r="F49" s="142"/>
      <c r="G49" s="142"/>
      <c r="H49" s="142"/>
    </row>
    <row r="50" spans="1:8" ht="15" customHeight="1">
      <c r="A50" s="493" t="s">
        <v>2948</v>
      </c>
      <c r="B50" s="146"/>
      <c r="C50" s="146"/>
      <c r="D50" s="493" t="s">
        <v>103</v>
      </c>
      <c r="E50" s="490"/>
      <c r="F50" s="490" t="s">
        <v>3</v>
      </c>
      <c r="G50" s="488"/>
      <c r="H50" s="488"/>
    </row>
    <row r="51" spans="1:8" ht="12.75" customHeight="1">
      <c r="A51" s="493"/>
      <c r="B51" s="488"/>
      <c r="C51" s="488"/>
      <c r="D51" s="488"/>
      <c r="E51" s="488"/>
      <c r="F51" s="488" t="s">
        <v>2</v>
      </c>
      <c r="G51" s="488"/>
      <c r="H51" s="488"/>
    </row>
    <row r="52" spans="1:8" ht="12.75" customHeight="1">
      <c r="A52" s="488"/>
      <c r="B52" s="488"/>
      <c r="C52" s="488"/>
      <c r="D52" s="488"/>
      <c r="E52" s="488"/>
      <c r="F52" s="488"/>
      <c r="G52" s="488"/>
      <c r="H52" s="488"/>
    </row>
    <row r="53" spans="1:8" ht="12.75" customHeight="1">
      <c r="A53" s="488"/>
      <c r="B53" s="488"/>
      <c r="C53" s="488"/>
      <c r="D53" s="488"/>
      <c r="E53" s="488"/>
      <c r="F53" s="491" t="s">
        <v>1</v>
      </c>
      <c r="G53" s="488"/>
      <c r="H53" s="488"/>
    </row>
    <row r="54" spans="1:8" ht="12.75" customHeight="1">
      <c r="A54" s="488"/>
      <c r="B54" s="488"/>
      <c r="C54" s="488"/>
      <c r="D54" s="488"/>
      <c r="E54" s="488"/>
      <c r="F54" s="491" t="s">
        <v>0</v>
      </c>
      <c r="G54" s="488"/>
      <c r="H54" s="488"/>
    </row>
    <row r="55" spans="1:8" ht="12.75" customHeight="1">
      <c r="A55" s="488"/>
      <c r="B55" s="488"/>
      <c r="C55" s="488"/>
      <c r="D55" s="488"/>
      <c r="E55" s="488"/>
      <c r="F55" s="488"/>
      <c r="G55" s="488"/>
      <c r="H55" s="488"/>
    </row>
    <row r="56" spans="1:8" ht="12.75" customHeight="1">
      <c r="A56" s="488"/>
      <c r="B56" s="488"/>
      <c r="C56" s="488"/>
      <c r="D56" s="488"/>
      <c r="E56" s="488"/>
      <c r="F56" s="488"/>
      <c r="G56" s="488"/>
      <c r="H56" s="488"/>
    </row>
    <row r="57" spans="1:8">
      <c r="A57" s="488"/>
      <c r="B57" s="488"/>
      <c r="C57" s="488"/>
      <c r="D57" s="488"/>
      <c r="E57" s="488"/>
      <c r="F57" s="488"/>
      <c r="G57" s="488"/>
      <c r="H57" s="488"/>
    </row>
    <row r="58" spans="1:8">
      <c r="A58" s="488"/>
      <c r="B58" s="488"/>
      <c r="C58" s="488"/>
      <c r="D58" s="488"/>
      <c r="E58" s="488"/>
      <c r="F58" s="488"/>
      <c r="G58" s="488"/>
      <c r="H58" s="488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89" orientation="portrait" r:id="rId1"/>
  <headerFooter alignWithMargins="0">
    <oddFooter>Page &amp;P of &amp;N</oddFooter>
  </headerFooter>
</worksheet>
</file>

<file path=xl/worksheets/sheet5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E7795-C068-4032-9C0D-C6E7CE987C7E}">
  <dimension ref="A1:H52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" style="483" customWidth="1"/>
    <col min="2" max="2" width="13.7109375" style="483" customWidth="1"/>
    <col min="3" max="3" width="1.28515625" style="483" customWidth="1"/>
    <col min="4" max="4" width="19.85546875" style="483" customWidth="1"/>
    <col min="5" max="5" width="1.5703125" style="483" customWidth="1"/>
    <col min="6" max="6" width="13.28515625" style="483" customWidth="1"/>
    <col min="7" max="7" width="10.140625" style="483" customWidth="1"/>
    <col min="8" max="8" width="13.28515625" style="483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483" t="s">
        <v>24</v>
      </c>
      <c r="F8" s="22" t="s">
        <v>23</v>
      </c>
    </row>
    <row r="9" spans="1:8">
      <c r="F9" s="484" t="s">
        <v>1110</v>
      </c>
      <c r="G9" s="489" t="s">
        <v>7014</v>
      </c>
    </row>
    <row r="10" spans="1:8">
      <c r="A10" s="483" t="s">
        <v>7016</v>
      </c>
      <c r="F10" s="484" t="s">
        <v>1685</v>
      </c>
      <c r="G10" s="489" t="s">
        <v>7004</v>
      </c>
    </row>
    <row r="11" spans="1:8">
      <c r="A11" s="483" t="s">
        <v>7017</v>
      </c>
      <c r="F11" s="484" t="s">
        <v>1163</v>
      </c>
      <c r="G11" s="489" t="s">
        <v>1094</v>
      </c>
    </row>
    <row r="12" spans="1:8">
      <c r="A12" s="483" t="s">
        <v>7018</v>
      </c>
      <c r="F12" s="484" t="s">
        <v>1188</v>
      </c>
      <c r="G12" s="483" t="s">
        <v>7015</v>
      </c>
    </row>
    <row r="13" spans="1:8">
      <c r="A13" s="483" t="s">
        <v>7019</v>
      </c>
      <c r="G13" s="483" t="s">
        <v>6182</v>
      </c>
    </row>
    <row r="14" spans="1:8">
      <c r="A14" s="483" t="s">
        <v>1588</v>
      </c>
    </row>
    <row r="16" spans="1:8" s="15" customFormat="1" ht="20.100000000000001" customHeight="1">
      <c r="A16" s="523" t="s">
        <v>1097</v>
      </c>
      <c r="B16" s="523" t="s">
        <v>1098</v>
      </c>
      <c r="C16" s="523"/>
      <c r="D16" s="19" t="s">
        <v>14</v>
      </c>
      <c r="E16" s="19"/>
      <c r="F16" s="18"/>
      <c r="G16" s="17"/>
      <c r="H16" s="16" t="s">
        <v>13</v>
      </c>
    </row>
    <row r="17" spans="1:8">
      <c r="A17" s="173"/>
    </row>
    <row r="18" spans="1:8">
      <c r="D18" s="482" t="s">
        <v>3572</v>
      </c>
      <c r="E18" s="482"/>
    </row>
    <row r="19" spans="1:8">
      <c r="A19" s="173"/>
      <c r="D19" s="482"/>
      <c r="E19" s="482"/>
    </row>
    <row r="20" spans="1:8">
      <c r="A20" s="485" t="s">
        <v>7020</v>
      </c>
      <c r="B20" s="485" t="s">
        <v>7021</v>
      </c>
      <c r="C20" s="485"/>
      <c r="D20" s="483" t="s">
        <v>7022</v>
      </c>
      <c r="H20" s="483">
        <v>150</v>
      </c>
    </row>
    <row r="21" spans="1:8">
      <c r="A21" s="484"/>
    </row>
    <row r="23" spans="1:8">
      <c r="A23" s="485"/>
      <c r="B23" s="485"/>
      <c r="C23" s="485"/>
    </row>
    <row r="24" spans="1:8">
      <c r="A24" s="484"/>
    </row>
    <row r="25" spans="1:8">
      <c r="A25" s="484"/>
    </row>
    <row r="26" spans="1:8">
      <c r="A26" s="485"/>
      <c r="B26" s="485"/>
      <c r="C26" s="485"/>
    </row>
    <row r="27" spans="1:8">
      <c r="A27" s="484"/>
    </row>
    <row r="29" spans="1:8">
      <c r="A29" s="485"/>
    </row>
    <row r="30" spans="1:8">
      <c r="A30" s="485"/>
      <c r="B30" s="1"/>
      <c r="C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73"/>
      <c r="H32" s="1"/>
    </row>
    <row r="33" spans="1:8" ht="13.5" thickBot="1">
      <c r="A33" s="173"/>
      <c r="H33" s="117">
        <f>SUM(H19:H31)</f>
        <v>150</v>
      </c>
    </row>
    <row r="34" spans="1:8" ht="13.5" thickTop="1">
      <c r="A34" s="173"/>
    </row>
    <row r="35" spans="1:8" ht="20.100000000000001" customHeight="1">
      <c r="A35" s="118" t="s">
        <v>1686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One Hundred Fifty and NO/100 -----------</v>
      </c>
      <c r="C35" s="202"/>
      <c r="D35" s="119"/>
      <c r="E35" s="119"/>
      <c r="F35" s="119"/>
      <c r="G35" s="119"/>
      <c r="H35" s="119"/>
    </row>
    <row r="36" spans="1:8">
      <c r="A36" s="486"/>
    </row>
    <row r="37" spans="1:8">
      <c r="A37" s="483" t="s">
        <v>10</v>
      </c>
    </row>
    <row r="38" spans="1:8" ht="25.5">
      <c r="F38" s="265" t="s">
        <v>2894</v>
      </c>
      <c r="G38" s="266"/>
      <c r="H38" s="267"/>
    </row>
    <row r="39" spans="1:8">
      <c r="F39" s="309"/>
      <c r="G39" s="309"/>
      <c r="H39" s="309"/>
    </row>
    <row r="40" spans="1:8">
      <c r="A40" s="483" t="s">
        <v>51</v>
      </c>
      <c r="D40" s="121"/>
      <c r="E40" s="121"/>
      <c r="F40" s="310"/>
      <c r="G40" s="311"/>
      <c r="H40" s="311"/>
    </row>
    <row r="41" spans="1:8">
      <c r="A41" s="35"/>
      <c r="B41" s="122"/>
    </row>
    <row r="43" spans="1:8">
      <c r="A43" s="483" t="s">
        <v>8</v>
      </c>
      <c r="D43" s="483" t="s">
        <v>8</v>
      </c>
      <c r="F43" s="487" t="s">
        <v>7</v>
      </c>
      <c r="H43" s="124"/>
    </row>
    <row r="47" spans="1:8">
      <c r="A47" s="122"/>
      <c r="B47" s="122"/>
      <c r="D47" s="122"/>
      <c r="F47" s="122"/>
      <c r="G47" s="122"/>
      <c r="H47" s="122"/>
    </row>
    <row r="48" spans="1:8" s="3" customFormat="1" ht="17.100000000000001" customHeight="1">
      <c r="A48" s="483" t="s">
        <v>2948</v>
      </c>
      <c r="B48" s="125"/>
      <c r="C48" s="125"/>
      <c r="D48" s="483" t="s">
        <v>103</v>
      </c>
      <c r="E48" s="126"/>
      <c r="F48" s="126" t="s">
        <v>3</v>
      </c>
      <c r="G48" s="126"/>
      <c r="H48" s="126"/>
    </row>
    <row r="49" spans="6:6">
      <c r="F49" s="483" t="s">
        <v>2</v>
      </c>
    </row>
    <row r="51" spans="6:6">
      <c r="F51" s="482" t="s">
        <v>1</v>
      </c>
    </row>
    <row r="52" spans="6:6">
      <c r="F52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5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117AB-258C-4FDF-B0A2-EEAC88BCCD79}">
  <sheetPr>
    <pageSetUpPr fitToPage="1"/>
  </sheetPr>
  <dimension ref="A1:H57"/>
  <sheetViews>
    <sheetView view="pageBreakPreview" topLeftCell="A4" zoomScaleNormal="100" zoomScaleSheetLayoutView="100" workbookViewId="0">
      <selection activeCell="H38" sqref="H38"/>
    </sheetView>
  </sheetViews>
  <sheetFormatPr defaultRowHeight="12.75"/>
  <cols>
    <col min="1" max="1" width="15.5703125" style="483" customWidth="1"/>
    <col min="2" max="2" width="18.42578125" style="483" customWidth="1"/>
    <col min="3" max="3" width="1" style="483" customWidth="1"/>
    <col min="4" max="4" width="20" style="483" customWidth="1"/>
    <col min="5" max="5" width="1.140625" style="483" customWidth="1"/>
    <col min="6" max="6" width="17.42578125" style="483" customWidth="1"/>
    <col min="7" max="7" width="9.28515625" style="483" customWidth="1"/>
    <col min="8" max="8" width="13.28515625" style="483" customWidth="1"/>
    <col min="9" max="16384" width="9.140625" style="483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483" t="s">
        <v>24</v>
      </c>
      <c r="F8" s="22" t="s">
        <v>23</v>
      </c>
    </row>
    <row r="9" spans="1:8">
      <c r="A9" s="483" t="s">
        <v>7151</v>
      </c>
      <c r="F9" s="484" t="s">
        <v>1716</v>
      </c>
      <c r="G9" s="489" t="s">
        <v>7149</v>
      </c>
    </row>
    <row r="10" spans="1:8">
      <c r="A10" s="483" t="s">
        <v>7152</v>
      </c>
      <c r="F10" s="484" t="s">
        <v>1162</v>
      </c>
      <c r="G10" s="489" t="s">
        <v>7134</v>
      </c>
    </row>
    <row r="11" spans="1:8">
      <c r="A11" s="483" t="s">
        <v>1879</v>
      </c>
      <c r="F11" s="484" t="s">
        <v>1163</v>
      </c>
      <c r="G11" s="489" t="s">
        <v>1094</v>
      </c>
    </row>
    <row r="12" spans="1:8">
      <c r="A12" s="483" t="s">
        <v>7153</v>
      </c>
      <c r="F12" s="484" t="s">
        <v>1096</v>
      </c>
      <c r="G12" s="483" t="s">
        <v>7150</v>
      </c>
    </row>
    <row r="13" spans="1:8">
      <c r="G13" s="483" t="s">
        <v>6182</v>
      </c>
    </row>
    <row r="16" spans="1:8" s="15" customFormat="1" ht="20.100000000000001" customHeight="1">
      <c r="A16" s="522" t="s">
        <v>1097</v>
      </c>
      <c r="B16" s="526" t="s">
        <v>1114</v>
      </c>
      <c r="C16" s="526"/>
      <c r="D16" s="19" t="s">
        <v>14</v>
      </c>
      <c r="E16" s="19"/>
      <c r="F16" s="18"/>
      <c r="G16" s="17"/>
      <c r="H16" s="16" t="s">
        <v>13</v>
      </c>
    </row>
    <row r="18" spans="1:8" ht="12.75" customHeight="1">
      <c r="D18" s="482" t="s">
        <v>6274</v>
      </c>
      <c r="E18" s="482"/>
    </row>
    <row r="19" spans="1:8">
      <c r="A19" s="485"/>
      <c r="B19" s="485"/>
      <c r="C19" s="485"/>
    </row>
    <row r="20" spans="1:8">
      <c r="A20" s="485" t="s">
        <v>7144</v>
      </c>
      <c r="B20" s="485" t="s">
        <v>7154</v>
      </c>
      <c r="C20" s="485"/>
      <c r="D20" s="483" t="s">
        <v>7155</v>
      </c>
      <c r="H20" s="483">
        <v>2773.43</v>
      </c>
    </row>
    <row r="21" spans="1:8">
      <c r="D21" s="483" t="s">
        <v>6277</v>
      </c>
      <c r="H21" s="483">
        <v>-1525.39</v>
      </c>
    </row>
    <row r="22" spans="1:8">
      <c r="D22" s="314" t="s">
        <v>6278</v>
      </c>
      <c r="H22" s="483">
        <v>600.29999999999995</v>
      </c>
    </row>
    <row r="23" spans="1:8">
      <c r="A23" s="486"/>
      <c r="D23" s="483" t="s">
        <v>6279</v>
      </c>
      <c r="E23" s="491"/>
      <c r="F23" s="374"/>
      <c r="G23" s="374"/>
      <c r="H23" s="374">
        <f>SUM(H20+H21+H22)*6%</f>
        <v>110.90039999999998</v>
      </c>
    </row>
    <row r="24" spans="1:8">
      <c r="A24" s="486"/>
      <c r="D24" s="483" t="s">
        <v>1613</v>
      </c>
      <c r="H24" s="483">
        <v>10</v>
      </c>
    </row>
    <row r="25" spans="1:8">
      <c r="A25" s="486"/>
      <c r="D25" s="483" t="s">
        <v>3276</v>
      </c>
      <c r="H25" s="483">
        <v>0.01</v>
      </c>
    </row>
    <row r="26" spans="1:8">
      <c r="F26" s="377"/>
      <c r="G26" s="377"/>
      <c r="H26" s="377"/>
    </row>
    <row r="27" spans="1:8">
      <c r="D27" s="483" t="s">
        <v>7156</v>
      </c>
      <c r="F27" s="374"/>
      <c r="G27" s="374"/>
      <c r="H27" s="374"/>
    </row>
    <row r="32" spans="1:8">
      <c r="B32" s="486"/>
      <c r="C32" s="486"/>
    </row>
    <row r="33" spans="1:8">
      <c r="B33" s="486"/>
      <c r="C33" s="486"/>
    </row>
    <row r="34" spans="1:8">
      <c r="B34" s="486"/>
      <c r="C34" s="486"/>
    </row>
    <row r="35" spans="1:8">
      <c r="B35" s="486"/>
      <c r="C35" s="486"/>
    </row>
    <row r="36" spans="1:8">
      <c r="B36" s="486"/>
      <c r="C36" s="486"/>
      <c r="D36" s="167"/>
      <c r="E36" s="167"/>
      <c r="F36" s="167"/>
      <c r="G36" s="167"/>
      <c r="H36" s="167"/>
    </row>
    <row r="38" spans="1:8" ht="13.5" thickBot="1">
      <c r="H38" s="127">
        <f>SUM(H18:H37)</f>
        <v>1969.2503999999997</v>
      </c>
    </row>
    <row r="39" spans="1:8" ht="13.5" thickTop="1"/>
    <row r="40" spans="1:8" ht="20.100000000000001" customHeight="1">
      <c r="A40" s="118" t="s">
        <v>1717</v>
      </c>
      <c r="B40" s="202" t="str">
        <f>IF(OR(H38&gt;1000000,H38&lt;=0),"",IF(H38&lt;1000,"",IF(MOD(H38,1000000)&gt;=100000,INDEX(numbers,TRUNC(MOD(H38,1000000)/100000,0)+1)&amp;" Hundred","")&amp;IF(MOD(H38,100000)&gt;=20000," "&amp;INDEX(tens,TRUNC(MOD(H38,100000)/10000,0)+1)&amp;IF(MOD(MOD(H38,100000),10000)&gt;=1000,"-"&amp;INDEX(numbers,TRUNC(MOD(MOD(H38,100000),10000)/1000,0)+1),""),IF(MOD(H38,100000)&gt;=1000," "&amp;INDEX(numbers,TRUNC(MOD(H38,100000)/1000,0)+1),""))&amp;" Thousand") &amp; IF(H38&lt;1,"Zero Dollars",IF(MOD(H38,1000)&gt;=100," "&amp;INDEX(numbers,TRUNC(MOD(H38,1000)/100,0)+1)&amp;" Hundred","")&amp;IF(MOD(H38,100)&gt;=20," "&amp;INDEX(tens,TRUNC(MOD(H38,100)/10,0)+1)&amp;IF(MOD(MOD(H38,100),10)&gt;=1,"-"&amp;INDEX(numbers,TRUNC(MOD(MOD(H38,100),10),0)+1),""),IF(MOD(H38,100)&gt;=1," "&amp;INDEX(numbers,TRUNC(MOD(H38,100),0)+1),""))&amp;"") &amp; " and " &amp; IF(MOD(H38,1)&lt;0.005,"NO",ROUND(MOD(H38,1)*100,0)) &amp; "/100 -----------")</f>
        <v xml:space="preserve"> One Thousand Nine Hundred Sixty-Nine and 25/100 -----------</v>
      </c>
      <c r="C40" s="202"/>
      <c r="D40" s="119"/>
      <c r="E40" s="119"/>
      <c r="F40" s="119"/>
      <c r="G40" s="119"/>
      <c r="H40" s="119"/>
    </row>
    <row r="41" spans="1:8">
      <c r="A41" s="486"/>
    </row>
    <row r="42" spans="1:8" ht="25.5">
      <c r="A42" s="487" t="s">
        <v>10</v>
      </c>
      <c r="F42" s="265" t="s">
        <v>2894</v>
      </c>
      <c r="G42" s="266"/>
      <c r="H42" s="267"/>
    </row>
    <row r="43" spans="1:8">
      <c r="A43" s="487"/>
    </row>
    <row r="44" spans="1:8">
      <c r="A44" s="487"/>
      <c r="F44" s="309"/>
      <c r="G44" s="309"/>
      <c r="H44" s="309"/>
    </row>
    <row r="45" spans="1:8">
      <c r="A45" s="487"/>
      <c r="D45" s="121"/>
      <c r="E45" s="121"/>
      <c r="F45" s="310"/>
      <c r="G45" s="311"/>
      <c r="H45" s="311"/>
    </row>
    <row r="46" spans="1:8">
      <c r="A46" s="122"/>
      <c r="B46" s="122"/>
    </row>
    <row r="47" spans="1:8">
      <c r="A47" s="487"/>
    </row>
    <row r="48" spans="1:8">
      <c r="A48" s="487" t="s">
        <v>8</v>
      </c>
      <c r="D48" s="487" t="s">
        <v>8</v>
      </c>
      <c r="F48" s="487" t="s">
        <v>7</v>
      </c>
      <c r="H48" s="124"/>
    </row>
    <row r="49" spans="1:8">
      <c r="A49" s="487"/>
      <c r="D49" s="487"/>
    </row>
    <row r="50" spans="1:8">
      <c r="A50" s="487"/>
      <c r="D50" s="487"/>
    </row>
    <row r="51" spans="1:8">
      <c r="A51" s="487"/>
      <c r="D51" s="487"/>
    </row>
    <row r="52" spans="1:8">
      <c r="A52" s="150"/>
      <c r="B52" s="122"/>
      <c r="D52" s="150"/>
      <c r="F52" s="122"/>
      <c r="G52" s="122"/>
      <c r="H52" s="122"/>
    </row>
    <row r="53" spans="1:8" s="126" customFormat="1" ht="17.100000000000001" customHeight="1">
      <c r="A53" s="487" t="s">
        <v>2948</v>
      </c>
      <c r="B53" s="125"/>
      <c r="C53" s="125"/>
      <c r="D53" s="487" t="s">
        <v>103</v>
      </c>
      <c r="F53" s="126" t="s">
        <v>3</v>
      </c>
    </row>
    <row r="54" spans="1:8">
      <c r="A54" s="487"/>
      <c r="F54" s="483" t="s">
        <v>2</v>
      </c>
    </row>
    <row r="55" spans="1:8">
      <c r="A55" s="487"/>
    </row>
    <row r="56" spans="1:8">
      <c r="F56" s="482" t="s">
        <v>1</v>
      </c>
    </row>
    <row r="57" spans="1:8">
      <c r="F57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97">
    <pageSetUpPr fitToPage="1"/>
  </sheetPr>
  <dimension ref="A1:H54"/>
  <sheetViews>
    <sheetView topLeftCell="A4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140625" style="111" customWidth="1"/>
    <col min="4" max="4" width="22.42578125" style="111" customWidth="1"/>
    <col min="5" max="5" width="1.570312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489" t="s">
        <v>6770</v>
      </c>
      <c r="H9" s="488"/>
    </row>
    <row r="10" spans="1:8">
      <c r="A10" s="111" t="s">
        <v>3544</v>
      </c>
      <c r="F10" s="112" t="s">
        <v>1180</v>
      </c>
      <c r="G10" s="489" t="s">
        <v>6758</v>
      </c>
      <c r="H10" s="488"/>
    </row>
    <row r="11" spans="1:8">
      <c r="A11" s="111" t="s">
        <v>5960</v>
      </c>
      <c r="F11" s="112" t="s">
        <v>1181</v>
      </c>
      <c r="G11" s="489" t="s">
        <v>1094</v>
      </c>
      <c r="H11" s="488"/>
    </row>
    <row r="12" spans="1:8">
      <c r="A12" s="111" t="s">
        <v>5961</v>
      </c>
      <c r="F12" s="112" t="s">
        <v>1182</v>
      </c>
      <c r="G12" s="483" t="s">
        <v>6771</v>
      </c>
      <c r="H12" s="488"/>
    </row>
    <row r="13" spans="1:8">
      <c r="A13" s="111" t="s">
        <v>1823</v>
      </c>
      <c r="G13" s="483" t="s">
        <v>6182</v>
      </c>
      <c r="H13" s="488"/>
    </row>
    <row r="14" spans="1:8">
      <c r="A14" s="111" t="s">
        <v>1287</v>
      </c>
      <c r="G14" s="488"/>
      <c r="H14" s="488"/>
    </row>
    <row r="16" spans="1:8" s="15" customFormat="1" ht="20.100000000000001" customHeight="1">
      <c r="A16" s="18" t="s">
        <v>1193</v>
      </c>
      <c r="B16" s="129" t="s">
        <v>1098</v>
      </c>
      <c r="C16" s="464"/>
      <c r="D16" s="19" t="s">
        <v>14</v>
      </c>
      <c r="E16" s="19"/>
      <c r="F16" s="18"/>
      <c r="G16" s="17"/>
      <c r="H16" s="16" t="s">
        <v>13</v>
      </c>
    </row>
    <row r="18" spans="1:8">
      <c r="A18" s="161"/>
      <c r="B18" s="121"/>
      <c r="C18" s="121"/>
      <c r="D18" s="2" t="s">
        <v>6772</v>
      </c>
      <c r="E18" s="2"/>
    </row>
    <row r="19" spans="1:8">
      <c r="D19" s="2" t="s">
        <v>6773</v>
      </c>
      <c r="E19" s="2"/>
    </row>
    <row r="21" spans="1:8">
      <c r="A21" s="485" t="s">
        <v>6774</v>
      </c>
      <c r="B21" s="485" t="s">
        <v>1920</v>
      </c>
      <c r="C21" s="116"/>
      <c r="D21" s="111" t="s">
        <v>6775</v>
      </c>
      <c r="H21" s="111">
        <v>5000</v>
      </c>
    </row>
    <row r="22" spans="1:8">
      <c r="A22" s="116"/>
      <c r="B22" s="116"/>
      <c r="C22" s="116"/>
    </row>
    <row r="23" spans="1:8">
      <c r="A23" s="116"/>
      <c r="B23" s="116"/>
      <c r="C23" s="116"/>
    </row>
    <row r="24" spans="1:8">
      <c r="A24" s="116"/>
      <c r="B24" s="116"/>
      <c r="C24" s="116"/>
    </row>
    <row r="25" spans="1:8">
      <c r="A25" s="116"/>
      <c r="B25" s="116"/>
      <c r="C25" s="116"/>
    </row>
    <row r="26" spans="1:8">
      <c r="A26" s="116"/>
      <c r="B26" s="116"/>
      <c r="C26" s="116"/>
    </row>
    <row r="27" spans="1:8">
      <c r="A27" s="116"/>
      <c r="B27" s="116"/>
      <c r="C27" s="116"/>
    </row>
    <row r="28" spans="1:8">
      <c r="A28" s="116"/>
      <c r="B28" s="116"/>
      <c r="C28" s="116"/>
    </row>
    <row r="29" spans="1:8">
      <c r="A29" s="116"/>
      <c r="B29" s="116"/>
      <c r="C29" s="116"/>
    </row>
    <row r="31" spans="1:8">
      <c r="A31" s="116"/>
      <c r="B31" s="121"/>
      <c r="C31" s="121"/>
    </row>
    <row r="33" spans="1:8">
      <c r="A33" s="116"/>
      <c r="B33" s="121"/>
      <c r="C33" s="121"/>
    </row>
    <row r="34" spans="1:8">
      <c r="H34" s="122"/>
    </row>
    <row r="35" spans="1:8" ht="13.5" thickBot="1">
      <c r="H35" s="127">
        <f>SUM(H18:H33)</f>
        <v>5000</v>
      </c>
    </row>
    <row r="36" spans="1:8" ht="13.5" thickTop="1"/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Five Thousand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26" t="s">
        <v>10</v>
      </c>
      <c r="F39" s="265" t="s">
        <v>2894</v>
      </c>
      <c r="G39" s="266"/>
      <c r="H39" s="267"/>
    </row>
    <row r="42" spans="1:8">
      <c r="A42" s="111" t="s">
        <v>52</v>
      </c>
      <c r="D42" s="121"/>
      <c r="E42" s="121"/>
    </row>
    <row r="43" spans="1:8">
      <c r="A43" s="122"/>
      <c r="B43" s="122"/>
      <c r="C43" s="433"/>
    </row>
    <row r="45" spans="1:8">
      <c r="A45" s="123" t="s">
        <v>8</v>
      </c>
      <c r="D45" s="123" t="s">
        <v>8</v>
      </c>
      <c r="F45" s="123" t="s">
        <v>7</v>
      </c>
      <c r="H45" s="124"/>
    </row>
    <row r="49" spans="1:8">
      <c r="A49" s="122" t="s">
        <v>51</v>
      </c>
      <c r="B49" s="122"/>
      <c r="C49" s="433"/>
      <c r="D49" s="122" t="s">
        <v>51</v>
      </c>
      <c r="F49" s="122"/>
      <c r="G49" s="122"/>
      <c r="H49" s="122"/>
    </row>
    <row r="50" spans="1:8" s="126" customFormat="1" ht="17.100000000000001" customHeight="1">
      <c r="A50" s="151" t="s">
        <v>2948</v>
      </c>
      <c r="B50" s="125"/>
      <c r="C50" s="125"/>
      <c r="D50" s="151" t="s">
        <v>103</v>
      </c>
      <c r="F50" s="126" t="s">
        <v>3</v>
      </c>
    </row>
    <row r="51" spans="1:8">
      <c r="F51" s="111" t="s">
        <v>2</v>
      </c>
    </row>
    <row r="53" spans="1:8">
      <c r="F53" s="2" t="s">
        <v>1</v>
      </c>
    </row>
    <row r="54" spans="1:8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5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1-000000000000}">
  <sheetPr codeName="Sheet184"/>
  <dimension ref="A1:H53"/>
  <sheetViews>
    <sheetView view="pageBreakPreview" topLeftCell="A4" zoomScale="115" zoomScaleNormal="100" zoomScaleSheetLayoutView="115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" style="111" customWidth="1"/>
    <col min="4" max="4" width="22.42578125" style="111" customWidth="1"/>
    <col min="5" max="5" width="1.710937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11" t="s">
        <v>6402</v>
      </c>
    </row>
    <row r="10" spans="1:8">
      <c r="A10" s="111" t="s">
        <v>1475</v>
      </c>
      <c r="F10" s="112" t="s">
        <v>1180</v>
      </c>
      <c r="G10" s="111" t="s">
        <v>6310</v>
      </c>
    </row>
    <row r="11" spans="1:8">
      <c r="A11" s="111" t="s">
        <v>1476</v>
      </c>
      <c r="F11" s="112" t="s">
        <v>1181</v>
      </c>
      <c r="G11" s="111" t="s">
        <v>1094</v>
      </c>
    </row>
    <row r="12" spans="1:8">
      <c r="A12" s="111" t="s">
        <v>1477</v>
      </c>
      <c r="F12" s="112" t="s">
        <v>1182</v>
      </c>
      <c r="G12" s="111" t="s">
        <v>1270</v>
      </c>
    </row>
    <row r="13" spans="1:8">
      <c r="A13" s="111" t="s">
        <v>1478</v>
      </c>
    </row>
    <row r="14" spans="1:8">
      <c r="A14" s="111" t="s">
        <v>1479</v>
      </c>
    </row>
    <row r="16" spans="1:8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6403</v>
      </c>
      <c r="E18" s="2"/>
    </row>
    <row r="19" spans="1:8">
      <c r="B19" s="116"/>
      <c r="C19" s="116"/>
    </row>
    <row r="20" spans="1:8">
      <c r="A20" s="485" t="s">
        <v>6404</v>
      </c>
      <c r="B20" s="241" t="s">
        <v>6405</v>
      </c>
      <c r="C20" s="120"/>
      <c r="D20" s="111" t="s">
        <v>6406</v>
      </c>
      <c r="H20" s="111">
        <f>18300*4.1377</f>
        <v>75719.909999999989</v>
      </c>
    </row>
    <row r="21" spans="1:8">
      <c r="B21" s="314"/>
      <c r="D21" s="111" t="s">
        <v>6408</v>
      </c>
      <c r="H21" s="483">
        <f>2080*4.1377</f>
        <v>8606.4159999999993</v>
      </c>
    </row>
    <row r="22" spans="1:8">
      <c r="A22" s="116"/>
      <c r="B22" s="241"/>
      <c r="C22" s="116"/>
      <c r="D22" s="111" t="s">
        <v>6407</v>
      </c>
      <c r="H22" s="483">
        <f>4200*4.1377</f>
        <v>17378.34</v>
      </c>
    </row>
    <row r="23" spans="1:8">
      <c r="D23" s="111" t="s">
        <v>6410</v>
      </c>
      <c r="H23" s="483">
        <f>45*4.1377</f>
        <v>186.19649999999999</v>
      </c>
    </row>
    <row r="24" spans="1:8">
      <c r="A24" s="148"/>
      <c r="B24" s="157"/>
      <c r="C24" s="157"/>
    </row>
    <row r="25" spans="1:8">
      <c r="D25" s="111" t="s">
        <v>6409</v>
      </c>
    </row>
    <row r="27" spans="1:8">
      <c r="D27" s="111" t="s">
        <v>1697</v>
      </c>
      <c r="H27" s="111">
        <v>30</v>
      </c>
    </row>
    <row r="29" spans="1:8">
      <c r="D29" s="2"/>
      <c r="E29" s="2"/>
    </row>
    <row r="33" spans="1:8" ht="13.5" thickBot="1">
      <c r="H33" s="127">
        <f>SUM(H20:H32)</f>
        <v>101920.86249999999</v>
      </c>
    </row>
    <row r="34" spans="1:8" ht="13.5" thickTop="1"/>
    <row r="35" spans="1:8" ht="20.100000000000001" customHeight="1">
      <c r="A35" s="118" t="s">
        <v>204</v>
      </c>
      <c r="B35" s="118" t="s">
        <v>2436</v>
      </c>
      <c r="C35" s="118"/>
      <c r="D35" s="119"/>
      <c r="E35" s="119"/>
      <c r="F35" s="119"/>
      <c r="G35" s="119"/>
      <c r="H35" s="119"/>
    </row>
    <row r="36" spans="1:8">
      <c r="A36" s="120" t="s">
        <v>11</v>
      </c>
    </row>
    <row r="37" spans="1:8" ht="25.5">
      <c r="A37" s="111" t="s">
        <v>10</v>
      </c>
      <c r="D37" s="487" t="s">
        <v>8</v>
      </c>
      <c r="F37" s="265" t="s">
        <v>2894</v>
      </c>
      <c r="G37" s="266"/>
      <c r="H37" s="267"/>
    </row>
    <row r="38" spans="1:8">
      <c r="D38" s="483"/>
    </row>
    <row r="39" spans="1:8">
      <c r="A39" s="126"/>
      <c r="D39" s="483"/>
    </row>
    <row r="40" spans="1:8">
      <c r="A40" s="111" t="s">
        <v>52</v>
      </c>
      <c r="D40" s="483"/>
      <c r="E40" s="121"/>
    </row>
    <row r="41" spans="1:8">
      <c r="A41" s="122"/>
      <c r="B41" s="122"/>
      <c r="D41" s="122" t="s">
        <v>51</v>
      </c>
    </row>
    <row r="42" spans="1:8">
      <c r="D42" s="151" t="s">
        <v>103</v>
      </c>
    </row>
    <row r="43" spans="1:8" s="483" customFormat="1">
      <c r="D43" s="151"/>
    </row>
    <row r="44" spans="1:8">
      <c r="A44" s="123" t="s">
        <v>8</v>
      </c>
      <c r="D44" s="123" t="s">
        <v>8</v>
      </c>
      <c r="F44" s="123" t="s">
        <v>7</v>
      </c>
      <c r="H44" s="124"/>
    </row>
    <row r="48" spans="1:8">
      <c r="A48" s="122" t="s">
        <v>51</v>
      </c>
      <c r="B48" s="122"/>
      <c r="D48" s="122" t="s">
        <v>51</v>
      </c>
      <c r="F48" s="122"/>
      <c r="G48" s="122"/>
      <c r="H48" s="122"/>
    </row>
    <row r="49" spans="1:6" s="126" customFormat="1" ht="17.100000000000001" customHeight="1">
      <c r="A49" s="151" t="s">
        <v>2948</v>
      </c>
      <c r="B49" s="125"/>
      <c r="C49" s="125"/>
      <c r="D49" s="151" t="s">
        <v>103</v>
      </c>
      <c r="F49" s="126" t="s">
        <v>3</v>
      </c>
    </row>
    <row r="50" spans="1:6">
      <c r="F50" s="111" t="s">
        <v>2</v>
      </c>
    </row>
    <row r="51" spans="1:6">
      <c r="A51" s="151"/>
    </row>
    <row r="52" spans="1:6">
      <c r="F52" s="2" t="s">
        <v>1</v>
      </c>
    </row>
    <row r="53" spans="1:6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5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1-000000000000}">
  <sheetPr codeName="Sheet143">
    <pageSetUpPr fitToPage="1"/>
  </sheetPr>
  <dimension ref="A1:I54"/>
  <sheetViews>
    <sheetView workbookViewId="0">
      <selection activeCell="D20" sqref="D20"/>
    </sheetView>
  </sheetViews>
  <sheetFormatPr defaultRowHeight="12.75"/>
  <cols>
    <col min="1" max="1" width="16.140625" style="1" customWidth="1"/>
    <col min="2" max="2" width="12.5703125" style="1" customWidth="1"/>
    <col min="3" max="3" width="1.140625" style="1" customWidth="1"/>
    <col min="4" max="4" width="23" style="1" customWidth="1"/>
    <col min="5" max="5" width="0.71093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483" t="s">
        <v>7210</v>
      </c>
      <c r="H9" s="111"/>
    </row>
    <row r="10" spans="1:8">
      <c r="A10" s="111" t="s">
        <v>1584</v>
      </c>
      <c r="B10" s="111"/>
      <c r="C10" s="111"/>
      <c r="D10" s="111"/>
      <c r="E10" s="111"/>
      <c r="F10" s="112" t="s">
        <v>1162</v>
      </c>
      <c r="G10" s="484" t="s">
        <v>7191</v>
      </c>
      <c r="H10" s="111"/>
    </row>
    <row r="11" spans="1:8">
      <c r="A11" s="111" t="s">
        <v>1417</v>
      </c>
      <c r="B11" s="111"/>
      <c r="C11" s="111"/>
      <c r="D11" s="111"/>
      <c r="E11" s="111"/>
      <c r="F11" s="112" t="s">
        <v>1163</v>
      </c>
      <c r="G11" s="484" t="s">
        <v>1094</v>
      </c>
      <c r="H11" s="111"/>
    </row>
    <row r="12" spans="1:8">
      <c r="A12" s="111" t="s">
        <v>1413</v>
      </c>
      <c r="B12" s="111"/>
      <c r="C12" s="111"/>
      <c r="D12" s="111"/>
      <c r="E12" s="111"/>
      <c r="F12" s="112" t="s">
        <v>1135</v>
      </c>
      <c r="G12" s="484" t="s">
        <v>7211</v>
      </c>
      <c r="H12" s="111"/>
    </row>
    <row r="13" spans="1:8">
      <c r="A13" s="111"/>
      <c r="B13" s="111"/>
      <c r="C13" s="111"/>
      <c r="D13" s="111"/>
      <c r="E13" s="111"/>
      <c r="F13" s="111"/>
      <c r="G13" s="483" t="s">
        <v>7192</v>
      </c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446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</row>
    <row r="18" spans="1:9">
      <c r="A18" s="111"/>
      <c r="B18" s="111"/>
      <c r="C18" s="111"/>
      <c r="D18" s="2"/>
      <c r="E18" s="2"/>
      <c r="F18" s="111"/>
      <c r="G18" s="111"/>
      <c r="H18" s="111"/>
    </row>
    <row r="19" spans="1:9">
      <c r="A19" s="112"/>
      <c r="B19" s="116"/>
      <c r="C19" s="116"/>
      <c r="D19" s="2" t="s">
        <v>1552</v>
      </c>
      <c r="E19" s="2"/>
      <c r="F19" s="111"/>
      <c r="G19" s="111"/>
      <c r="H19" s="111"/>
      <c r="I19" s="111"/>
    </row>
    <row r="20" spans="1:9">
      <c r="A20" s="116"/>
      <c r="B20" s="116"/>
      <c r="C20" s="116"/>
      <c r="D20" s="2" t="s">
        <v>7212</v>
      </c>
      <c r="E20" s="2"/>
      <c r="F20" s="111"/>
      <c r="G20" s="111"/>
      <c r="H20" s="111"/>
      <c r="I20" s="111"/>
    </row>
    <row r="21" spans="1:9">
      <c r="A21" s="116"/>
      <c r="B21" s="120"/>
      <c r="C21" s="120"/>
      <c r="I21" s="111"/>
    </row>
    <row r="22" spans="1:9">
      <c r="A22" s="116"/>
      <c r="B22" s="120"/>
      <c r="C22" s="120"/>
      <c r="D22" s="111" t="s">
        <v>3977</v>
      </c>
      <c r="E22" s="111"/>
      <c r="F22" s="111"/>
      <c r="G22" s="111"/>
      <c r="H22" s="111"/>
      <c r="I22" s="111"/>
    </row>
    <row r="23" spans="1:9">
      <c r="A23" s="116"/>
      <c r="B23" s="120"/>
      <c r="C23" s="120"/>
      <c r="D23" s="111" t="s">
        <v>1625</v>
      </c>
      <c r="E23" s="111"/>
      <c r="F23" s="111"/>
      <c r="G23" s="111"/>
      <c r="H23" s="120">
        <v>681.16</v>
      </c>
      <c r="I23" s="111"/>
    </row>
    <row r="24" spans="1:9">
      <c r="A24" s="116"/>
      <c r="B24" s="120"/>
      <c r="C24" s="120"/>
      <c r="D24" s="483" t="s">
        <v>5987</v>
      </c>
      <c r="E24" s="483"/>
      <c r="F24" s="483"/>
      <c r="G24" s="483"/>
      <c r="H24" s="483">
        <v>-0.01</v>
      </c>
      <c r="I24" s="111"/>
    </row>
    <row r="25" spans="1:9">
      <c r="A25" s="116"/>
      <c r="B25" s="120"/>
      <c r="C25" s="120"/>
      <c r="D25" s="111"/>
      <c r="E25" s="111"/>
      <c r="F25" s="111"/>
      <c r="G25" s="111"/>
      <c r="H25" s="111"/>
      <c r="I25" s="111"/>
    </row>
    <row r="26" spans="1:9">
      <c r="A26" s="116"/>
      <c r="B26" s="120"/>
      <c r="C26" s="120"/>
      <c r="D26" s="111"/>
      <c r="E26" s="111"/>
      <c r="F26" s="111"/>
      <c r="G26" s="111"/>
      <c r="H26" s="111"/>
      <c r="I26" s="111"/>
    </row>
    <row r="27" spans="1:9">
      <c r="A27" s="116"/>
      <c r="B27" s="120"/>
      <c r="C27" s="120"/>
      <c r="I27" s="111"/>
    </row>
    <row r="28" spans="1:9">
      <c r="A28" s="116"/>
      <c r="B28" s="120"/>
      <c r="C28" s="120"/>
      <c r="I28" s="111"/>
    </row>
    <row r="29" spans="1:9">
      <c r="A29" s="116"/>
      <c r="B29" s="120"/>
      <c r="C29" s="120"/>
      <c r="D29" s="111"/>
      <c r="E29" s="111"/>
      <c r="F29" s="111"/>
      <c r="G29" s="111"/>
      <c r="H29" s="111"/>
      <c r="I29" s="111"/>
    </row>
    <row r="30" spans="1:9">
      <c r="A30" s="116"/>
      <c r="B30" s="120"/>
      <c r="C30" s="120"/>
      <c r="D30" s="111"/>
      <c r="E30" s="111"/>
      <c r="F30" s="111"/>
      <c r="G30" s="111"/>
      <c r="H30" s="111"/>
      <c r="I30" s="111"/>
    </row>
    <row r="31" spans="1:9">
      <c r="A31" s="116"/>
      <c r="B31" s="120"/>
      <c r="C31" s="120"/>
      <c r="D31" s="111"/>
      <c r="E31" s="111"/>
      <c r="F31" s="111"/>
      <c r="G31" s="111"/>
      <c r="H31" s="111"/>
      <c r="I31" s="111"/>
    </row>
    <row r="32" spans="1:9">
      <c r="A32" s="111"/>
      <c r="B32" s="111"/>
      <c r="C32" s="111"/>
      <c r="D32" s="111"/>
      <c r="E32" s="111"/>
      <c r="F32" s="111"/>
      <c r="G32" s="111"/>
      <c r="I32" s="111"/>
    </row>
    <row r="33" spans="1:9" ht="13.5" thickBot="1">
      <c r="A33" s="111"/>
      <c r="B33" s="111"/>
      <c r="C33" s="111"/>
      <c r="D33" s="111"/>
      <c r="E33" s="111"/>
      <c r="F33" s="111"/>
      <c r="G33" s="111"/>
      <c r="H33" s="117">
        <f>SUM(H20:H32)</f>
        <v>681.15</v>
      </c>
      <c r="I33" s="111"/>
    </row>
    <row r="34" spans="1:9" ht="13.5" thickTop="1">
      <c r="A34" s="111"/>
      <c r="B34" s="111"/>
      <c r="C34" s="111"/>
      <c r="D34" s="111"/>
      <c r="E34" s="111"/>
      <c r="F34" s="111"/>
      <c r="G34" s="111"/>
      <c r="H34" s="111"/>
      <c r="I34" s="111"/>
    </row>
    <row r="35" spans="1:9" ht="20.100000000000001" customHeight="1">
      <c r="A35" s="118" t="s">
        <v>1133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Six Hundred Eighty-One and 15/100 -----------</v>
      </c>
      <c r="C35" s="202"/>
      <c r="D35" s="119"/>
      <c r="E35" s="119"/>
      <c r="F35" s="119"/>
      <c r="G35" s="119"/>
      <c r="H35" s="119"/>
      <c r="I35" s="111"/>
    </row>
    <row r="36" spans="1:9">
      <c r="A36" s="120" t="s">
        <v>11</v>
      </c>
      <c r="B36" s="111"/>
      <c r="C36" s="111"/>
      <c r="D36" s="111"/>
      <c r="E36" s="111"/>
      <c r="F36" s="111"/>
      <c r="G36" s="111"/>
      <c r="H36" s="111"/>
    </row>
    <row r="37" spans="1:9" ht="25.5">
      <c r="A37" s="126" t="s">
        <v>10</v>
      </c>
      <c r="B37" s="111"/>
      <c r="C37" s="111"/>
      <c r="D37" s="111"/>
      <c r="E37" s="111"/>
      <c r="F37" s="265" t="s">
        <v>2894</v>
      </c>
      <c r="G37" s="266"/>
      <c r="H37" s="267"/>
    </row>
    <row r="38" spans="1:9">
      <c r="A38" s="111"/>
      <c r="B38" s="111"/>
      <c r="C38" s="111"/>
      <c r="D38" s="111"/>
      <c r="E38" s="111"/>
      <c r="F38" s="111"/>
      <c r="G38" s="111"/>
      <c r="H38" s="111"/>
    </row>
    <row r="39" spans="1:9">
      <c r="A39" s="126"/>
      <c r="B39" s="111"/>
      <c r="C39" s="111"/>
      <c r="D39" s="111"/>
      <c r="E39" s="111"/>
    </row>
    <row r="40" spans="1:9">
      <c r="A40" s="111"/>
      <c r="B40" s="111"/>
      <c r="C40" s="111"/>
      <c r="D40" s="121"/>
      <c r="E40" s="121"/>
      <c r="F40" s="111"/>
      <c r="G40" s="111"/>
      <c r="H40" s="111"/>
    </row>
    <row r="41" spans="1:9">
      <c r="A41" s="122"/>
      <c r="B41" s="122"/>
      <c r="C41" s="433"/>
      <c r="D41" s="111"/>
      <c r="E41" s="111"/>
      <c r="F41" s="111"/>
      <c r="G41" s="111"/>
      <c r="H41" s="111"/>
    </row>
    <row r="42" spans="1:9">
      <c r="B42" s="111"/>
      <c r="C42" s="111"/>
      <c r="D42" s="111"/>
      <c r="E42" s="111"/>
      <c r="F42" s="111"/>
      <c r="G42" s="111"/>
      <c r="H42" s="111"/>
    </row>
    <row r="43" spans="1:9">
      <c r="A43" s="123" t="s">
        <v>8</v>
      </c>
      <c r="D43" s="123" t="s">
        <v>8</v>
      </c>
      <c r="E43" s="111"/>
      <c r="F43" s="123" t="s">
        <v>7</v>
      </c>
      <c r="G43" s="111"/>
      <c r="H43" s="124"/>
    </row>
    <row r="44" spans="1:9">
      <c r="A44" s="111"/>
      <c r="B44" s="111"/>
      <c r="C44" s="111"/>
      <c r="D44" s="111"/>
      <c r="E44" s="111"/>
      <c r="F44" s="111"/>
      <c r="G44" s="111"/>
      <c r="H44" s="111"/>
    </row>
    <row r="45" spans="1:9">
      <c r="A45" s="111"/>
      <c r="B45" s="111"/>
      <c r="C45" s="111"/>
      <c r="D45" s="111"/>
      <c r="E45" s="111"/>
      <c r="F45" s="111"/>
      <c r="G45" s="111"/>
      <c r="H45" s="111"/>
    </row>
    <row r="46" spans="1:9">
      <c r="A46" s="111"/>
      <c r="B46" s="111"/>
      <c r="C46" s="111"/>
      <c r="D46" s="111"/>
      <c r="E46" s="111"/>
      <c r="F46" s="111"/>
      <c r="G46" s="111"/>
      <c r="H46" s="111"/>
    </row>
    <row r="47" spans="1:9">
      <c r="A47" s="122"/>
      <c r="B47" s="122"/>
      <c r="C47" s="433"/>
      <c r="D47" s="122"/>
      <c r="E47" s="111"/>
      <c r="F47" s="122"/>
      <c r="G47" s="122"/>
      <c r="H47" s="122"/>
    </row>
    <row r="48" spans="1:9" s="3" customFormat="1" ht="17.100000000000001" customHeight="1">
      <c r="A48" s="111" t="s">
        <v>2948</v>
      </c>
      <c r="B48" s="125"/>
      <c r="C48" s="125"/>
      <c r="D48" s="111" t="s">
        <v>103</v>
      </c>
      <c r="E48" s="126"/>
      <c r="F48" s="126" t="s">
        <v>3</v>
      </c>
      <c r="G48" s="126"/>
      <c r="H48" s="126"/>
    </row>
    <row r="49" spans="1:8">
      <c r="A49" s="111"/>
      <c r="B49" s="111"/>
      <c r="C49" s="111"/>
      <c r="D49" s="111"/>
      <c r="E49" s="111"/>
      <c r="F49" s="111" t="s">
        <v>2</v>
      </c>
      <c r="G49" s="111"/>
      <c r="H49" s="111"/>
    </row>
    <row r="50" spans="1:8">
      <c r="A50" s="151"/>
      <c r="B50" s="111"/>
      <c r="C50" s="111"/>
      <c r="D50" s="111"/>
      <c r="E50" s="111"/>
      <c r="F50" s="111"/>
      <c r="G50" s="111"/>
      <c r="H50" s="111"/>
    </row>
    <row r="51" spans="1:8">
      <c r="A51" s="111"/>
      <c r="B51" s="111"/>
      <c r="C51" s="111"/>
      <c r="D51" s="111"/>
      <c r="E51" s="111"/>
      <c r="F51" s="2" t="s">
        <v>1</v>
      </c>
      <c r="G51" s="111"/>
      <c r="H51" s="111"/>
    </row>
    <row r="52" spans="1:8">
      <c r="A52" s="111"/>
      <c r="B52" s="111"/>
      <c r="C52" s="111"/>
      <c r="D52" s="111"/>
      <c r="E52" s="111"/>
      <c r="F52" s="2" t="s">
        <v>0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1-000000000000}">
  <sheetPr codeName="Sheet206">
    <pageSetUpPr fitToPage="1"/>
  </sheetPr>
  <dimension ref="A1:J54"/>
  <sheetViews>
    <sheetView view="pageBreakPreview" zoomScaleNormal="100" zoomScaleSheetLayoutView="100" workbookViewId="0">
      <selection activeCell="D20" sqref="D20"/>
    </sheetView>
  </sheetViews>
  <sheetFormatPr defaultRowHeight="12.75"/>
  <cols>
    <col min="1" max="1" width="16.140625" style="1" customWidth="1"/>
    <col min="2" max="2" width="12.5703125" style="1" customWidth="1"/>
    <col min="3" max="3" width="0.85546875" style="1" customWidth="1"/>
    <col min="4" max="4" width="23" style="1" customWidth="1"/>
    <col min="5" max="5" width="0.71093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10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0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0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0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0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0">
      <c r="A9" s="111"/>
      <c r="B9" s="111"/>
      <c r="C9" s="111"/>
      <c r="D9" s="111"/>
      <c r="E9" s="111"/>
      <c r="F9" s="112" t="s">
        <v>1127</v>
      </c>
      <c r="G9" s="483" t="s">
        <v>7213</v>
      </c>
      <c r="H9" s="483"/>
    </row>
    <row r="10" spans="1:10">
      <c r="A10" s="111" t="s">
        <v>1584</v>
      </c>
      <c r="B10" s="111"/>
      <c r="C10" s="111"/>
      <c r="D10" s="111"/>
      <c r="E10" s="111"/>
      <c r="F10" s="112" t="s">
        <v>1162</v>
      </c>
      <c r="G10" s="484" t="s">
        <v>7191</v>
      </c>
      <c r="H10" s="483"/>
    </row>
    <row r="11" spans="1:10">
      <c r="A11" s="111" t="s">
        <v>1417</v>
      </c>
      <c r="B11" s="111"/>
      <c r="C11" s="111"/>
      <c r="D11" s="111"/>
      <c r="E11" s="111"/>
      <c r="F11" s="112" t="s">
        <v>1163</v>
      </c>
      <c r="G11" s="484" t="s">
        <v>1094</v>
      </c>
      <c r="H11" s="483"/>
    </row>
    <row r="12" spans="1:10">
      <c r="A12" s="111" t="s">
        <v>1413</v>
      </c>
      <c r="B12" s="111"/>
      <c r="C12" s="111"/>
      <c r="D12" s="111"/>
      <c r="E12" s="111"/>
      <c r="F12" s="112" t="s">
        <v>1135</v>
      </c>
      <c r="G12" s="484" t="s">
        <v>7161</v>
      </c>
      <c r="H12" s="483"/>
    </row>
    <row r="13" spans="1:10">
      <c r="A13" s="111"/>
      <c r="B13" s="111"/>
      <c r="C13" s="111"/>
      <c r="D13" s="111"/>
      <c r="E13" s="111"/>
      <c r="F13" s="111"/>
      <c r="G13" s="483" t="s">
        <v>7192</v>
      </c>
      <c r="H13" s="483"/>
      <c r="J13" s="7"/>
    </row>
    <row r="14" spans="1:10">
      <c r="A14" s="111"/>
      <c r="B14" s="111"/>
      <c r="C14" s="111"/>
      <c r="D14" s="111"/>
      <c r="E14" s="111"/>
      <c r="F14" s="111"/>
      <c r="G14" s="483"/>
      <c r="H14" s="111"/>
    </row>
    <row r="15" spans="1:10">
      <c r="A15" s="111"/>
      <c r="B15" s="111"/>
      <c r="C15" s="111"/>
      <c r="D15" s="111"/>
      <c r="E15" s="111"/>
      <c r="F15" s="111"/>
      <c r="G15" s="111"/>
      <c r="H15" s="111"/>
    </row>
    <row r="16" spans="1:10" s="15" customFormat="1" ht="20.100000000000001" customHeight="1">
      <c r="A16" s="18" t="s">
        <v>1122</v>
      </c>
      <c r="B16" s="129" t="s">
        <v>1098</v>
      </c>
      <c r="C16" s="446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</row>
    <row r="18" spans="1:9">
      <c r="A18" s="111"/>
      <c r="B18" s="111"/>
      <c r="C18" s="111"/>
      <c r="D18" s="2"/>
      <c r="E18" s="2"/>
      <c r="F18" s="111"/>
      <c r="G18" s="111"/>
      <c r="H18" s="111"/>
    </row>
    <row r="19" spans="1:9">
      <c r="A19" s="112"/>
      <c r="B19" s="116"/>
      <c r="C19" s="116"/>
      <c r="D19" s="2" t="s">
        <v>1552</v>
      </c>
      <c r="E19" s="2"/>
      <c r="F19" s="111"/>
      <c r="G19" s="111"/>
      <c r="H19" s="111"/>
      <c r="I19" s="111"/>
    </row>
    <row r="20" spans="1:9">
      <c r="A20" s="116"/>
      <c r="B20" s="116"/>
      <c r="C20" s="116"/>
      <c r="D20" s="482" t="s">
        <v>7212</v>
      </c>
      <c r="E20" s="2"/>
      <c r="F20" s="111"/>
      <c r="G20" s="111"/>
      <c r="H20" s="111"/>
      <c r="I20" s="111"/>
    </row>
    <row r="21" spans="1:9">
      <c r="A21" s="116"/>
      <c r="B21" s="120"/>
      <c r="C21" s="120"/>
      <c r="I21" s="111"/>
    </row>
    <row r="22" spans="1:9">
      <c r="A22" s="116"/>
      <c r="B22" s="120"/>
      <c r="C22" s="120"/>
      <c r="D22" s="111" t="s">
        <v>3978</v>
      </c>
      <c r="E22" s="111"/>
      <c r="F22" s="111"/>
      <c r="G22" s="111"/>
      <c r="H22" s="111"/>
      <c r="I22" s="111"/>
    </row>
    <row r="23" spans="1:9">
      <c r="A23" s="116"/>
      <c r="B23" s="120"/>
      <c r="C23" s="120"/>
      <c r="D23" s="111" t="s">
        <v>1625</v>
      </c>
      <c r="E23" s="111"/>
      <c r="F23" s="111"/>
      <c r="G23" s="111"/>
      <c r="H23" s="120">
        <v>967.79</v>
      </c>
      <c r="I23" s="111"/>
    </row>
    <row r="24" spans="1:9">
      <c r="A24" s="116"/>
      <c r="B24" s="120"/>
      <c r="C24" s="120"/>
      <c r="D24" s="483" t="s">
        <v>6204</v>
      </c>
      <c r="E24" s="483"/>
      <c r="F24" s="483"/>
      <c r="G24" s="483"/>
      <c r="H24" s="483">
        <v>0.01</v>
      </c>
      <c r="I24" s="111"/>
    </row>
    <row r="25" spans="1:9">
      <c r="A25" s="116"/>
      <c r="B25" s="120"/>
      <c r="C25" s="120"/>
      <c r="D25" s="111"/>
      <c r="E25" s="111"/>
      <c r="F25" s="111"/>
      <c r="G25" s="111"/>
      <c r="H25" s="111"/>
      <c r="I25" s="111"/>
    </row>
    <row r="26" spans="1:9">
      <c r="A26" s="116"/>
      <c r="B26" s="120"/>
      <c r="C26" s="120"/>
      <c r="D26" s="111"/>
      <c r="E26" s="111"/>
      <c r="F26" s="111"/>
      <c r="G26" s="111"/>
      <c r="H26" s="111"/>
      <c r="I26" s="111"/>
    </row>
    <row r="27" spans="1:9">
      <c r="A27" s="116"/>
      <c r="B27" s="120"/>
      <c r="C27" s="120"/>
      <c r="I27" s="111"/>
    </row>
    <row r="28" spans="1:9">
      <c r="A28" s="116"/>
      <c r="B28" s="120"/>
      <c r="C28" s="120"/>
      <c r="I28" s="111"/>
    </row>
    <row r="29" spans="1:9">
      <c r="A29" s="116"/>
      <c r="B29" s="120"/>
      <c r="C29" s="120"/>
      <c r="D29" s="111"/>
      <c r="E29" s="111"/>
      <c r="F29" s="111"/>
      <c r="G29" s="111"/>
      <c r="H29" s="111"/>
      <c r="I29" s="111"/>
    </row>
    <row r="30" spans="1:9">
      <c r="A30" s="116"/>
      <c r="B30" s="120"/>
      <c r="C30" s="120"/>
      <c r="D30" s="111"/>
      <c r="E30" s="111"/>
      <c r="F30" s="111"/>
      <c r="G30" s="111"/>
      <c r="H30" s="111"/>
      <c r="I30" s="111"/>
    </row>
    <row r="31" spans="1:9">
      <c r="A31" s="116"/>
      <c r="B31" s="120"/>
      <c r="C31" s="120"/>
      <c r="D31" s="111"/>
      <c r="E31" s="111"/>
      <c r="F31" s="111"/>
      <c r="G31" s="111"/>
      <c r="H31" s="111"/>
      <c r="I31" s="111"/>
    </row>
    <row r="32" spans="1:9">
      <c r="A32" s="111"/>
      <c r="B32" s="111"/>
      <c r="C32" s="111"/>
      <c r="D32" s="111"/>
      <c r="E32" s="111"/>
      <c r="F32" s="111"/>
      <c r="G32" s="111"/>
      <c r="I32" s="111"/>
    </row>
    <row r="33" spans="1:9" ht="13.5" thickBot="1">
      <c r="A33" s="111"/>
      <c r="B33" s="111"/>
      <c r="C33" s="111"/>
      <c r="D33" s="111"/>
      <c r="E33" s="111"/>
      <c r="F33" s="111"/>
      <c r="G33" s="111"/>
      <c r="H33" s="117">
        <f>SUM(H20:H32)</f>
        <v>967.8</v>
      </c>
      <c r="I33" s="111"/>
    </row>
    <row r="34" spans="1:9" ht="13.5" thickTop="1">
      <c r="A34" s="111"/>
      <c r="B34" s="111"/>
      <c r="C34" s="111"/>
      <c r="D34" s="111"/>
      <c r="E34" s="111"/>
      <c r="F34" s="111"/>
      <c r="G34" s="111"/>
      <c r="H34" s="111"/>
      <c r="I34" s="111"/>
    </row>
    <row r="35" spans="1:9" ht="20.100000000000001" customHeight="1">
      <c r="A35" s="118" t="s">
        <v>1133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Nine Hundred Sixty-Seven and 80/100 -----------</v>
      </c>
      <c r="C35" s="202"/>
      <c r="D35" s="119"/>
      <c r="E35" s="119"/>
      <c r="F35" s="119"/>
      <c r="G35" s="119"/>
      <c r="H35" s="119"/>
      <c r="I35" s="111"/>
    </row>
    <row r="36" spans="1:9">
      <c r="A36" s="120" t="s">
        <v>11</v>
      </c>
      <c r="B36" s="111"/>
      <c r="C36" s="111"/>
      <c r="D36" s="111"/>
      <c r="E36" s="111"/>
      <c r="F36" s="111"/>
      <c r="G36" s="111"/>
      <c r="H36" s="111"/>
    </row>
    <row r="37" spans="1:9" ht="25.5">
      <c r="A37" s="126" t="s">
        <v>10</v>
      </c>
      <c r="B37" s="111"/>
      <c r="C37" s="111"/>
      <c r="D37" s="111"/>
      <c r="E37" s="111"/>
      <c r="F37" s="265" t="s">
        <v>2894</v>
      </c>
      <c r="G37" s="266"/>
      <c r="H37" s="267"/>
    </row>
    <row r="38" spans="1:9">
      <c r="A38" s="111"/>
      <c r="B38" s="111"/>
      <c r="C38" s="111"/>
      <c r="D38" s="111"/>
      <c r="E38" s="111"/>
      <c r="F38" s="111"/>
      <c r="G38" s="111"/>
      <c r="H38" s="111"/>
    </row>
    <row r="39" spans="1:9">
      <c r="A39" s="126"/>
      <c r="B39" s="111"/>
      <c r="C39" s="111"/>
      <c r="D39" s="111"/>
      <c r="E39" s="111"/>
    </row>
    <row r="40" spans="1:9">
      <c r="A40" s="111"/>
      <c r="B40" s="111"/>
      <c r="C40" s="111"/>
      <c r="D40" s="121"/>
      <c r="E40" s="121"/>
      <c r="F40" s="111"/>
      <c r="G40" s="111"/>
      <c r="H40" s="111"/>
    </row>
    <row r="41" spans="1:9">
      <c r="A41" s="122"/>
      <c r="B41" s="122"/>
      <c r="C41" s="433"/>
      <c r="D41" s="111"/>
      <c r="E41" s="111"/>
      <c r="F41" s="111"/>
      <c r="G41" s="111"/>
      <c r="H41" s="111"/>
    </row>
    <row r="42" spans="1:9">
      <c r="B42" s="111"/>
      <c r="C42" s="111"/>
      <c r="D42" s="111"/>
      <c r="E42" s="111"/>
      <c r="F42" s="111"/>
      <c r="G42" s="111"/>
      <c r="H42" s="111"/>
    </row>
    <row r="43" spans="1:9">
      <c r="A43" s="123" t="s">
        <v>8</v>
      </c>
      <c r="D43" s="123" t="s">
        <v>8</v>
      </c>
      <c r="E43" s="111"/>
      <c r="F43" s="123" t="s">
        <v>7</v>
      </c>
      <c r="G43" s="111"/>
      <c r="H43" s="124"/>
    </row>
    <row r="44" spans="1:9">
      <c r="A44" s="111"/>
      <c r="B44" s="111"/>
      <c r="C44" s="111"/>
      <c r="D44" s="111"/>
      <c r="E44" s="111"/>
      <c r="F44" s="111"/>
      <c r="G44" s="111"/>
      <c r="H44" s="111"/>
    </row>
    <row r="45" spans="1:9">
      <c r="A45" s="111"/>
      <c r="B45" s="111"/>
      <c r="C45" s="111"/>
      <c r="D45" s="111"/>
      <c r="E45" s="111"/>
      <c r="F45" s="111"/>
      <c r="G45" s="111"/>
      <c r="H45" s="111"/>
    </row>
    <row r="46" spans="1:9">
      <c r="A46" s="111"/>
      <c r="B46" s="111"/>
      <c r="C46" s="111"/>
      <c r="D46" s="111"/>
      <c r="E46" s="111"/>
      <c r="F46" s="111"/>
      <c r="G46" s="111"/>
      <c r="H46" s="111"/>
    </row>
    <row r="47" spans="1:9">
      <c r="A47" s="122"/>
      <c r="B47" s="122"/>
      <c r="C47" s="433"/>
      <c r="D47" s="122"/>
      <c r="E47" s="111"/>
      <c r="F47" s="122"/>
      <c r="G47" s="122"/>
      <c r="H47" s="122"/>
    </row>
    <row r="48" spans="1:9" s="3" customFormat="1" ht="17.100000000000001" customHeight="1">
      <c r="A48" s="151" t="s">
        <v>2948</v>
      </c>
      <c r="B48" s="125"/>
      <c r="C48" s="125"/>
      <c r="D48" s="151" t="s">
        <v>103</v>
      </c>
      <c r="E48" s="126"/>
      <c r="F48" s="126" t="s">
        <v>3</v>
      </c>
      <c r="G48" s="126"/>
      <c r="H48" s="126"/>
    </row>
    <row r="49" spans="1:8">
      <c r="A49" s="111"/>
      <c r="B49" s="111"/>
      <c r="C49" s="111"/>
      <c r="D49" s="111"/>
      <c r="E49" s="111"/>
      <c r="F49" s="111" t="s">
        <v>2</v>
      </c>
      <c r="G49" s="111"/>
      <c r="H49" s="111"/>
    </row>
    <row r="50" spans="1:8">
      <c r="B50" s="111"/>
      <c r="C50" s="111"/>
      <c r="D50" s="111"/>
      <c r="E50" s="111"/>
      <c r="F50" s="111"/>
      <c r="G50" s="111"/>
      <c r="H50" s="111"/>
    </row>
    <row r="51" spans="1:8">
      <c r="A51" s="111"/>
      <c r="B51" s="111"/>
      <c r="C51" s="111"/>
      <c r="D51" s="111"/>
      <c r="E51" s="111"/>
      <c r="F51" s="2" t="s">
        <v>1</v>
      </c>
      <c r="G51" s="111"/>
      <c r="H51" s="111"/>
    </row>
    <row r="52" spans="1:8">
      <c r="A52" s="111"/>
      <c r="B52" s="111"/>
      <c r="C52" s="111"/>
      <c r="D52" s="111"/>
      <c r="E52" s="111"/>
      <c r="F52" s="2" t="s">
        <v>0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1-000000000000}">
  <sheetPr codeName="Sheet230">
    <pageSetUpPr fitToPage="1"/>
  </sheetPr>
  <dimension ref="A1:I54"/>
  <sheetViews>
    <sheetView topLeftCell="A4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0.85546875" style="1" customWidth="1"/>
    <col min="4" max="4" width="23" style="1" customWidth="1"/>
    <col min="5" max="5" width="1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483" t="s">
        <v>7117</v>
      </c>
      <c r="H9" s="111"/>
    </row>
    <row r="10" spans="1:8">
      <c r="A10" s="111" t="s">
        <v>1584</v>
      </c>
      <c r="B10" s="111"/>
      <c r="C10" s="111"/>
      <c r="D10" s="111"/>
      <c r="E10" s="111"/>
      <c r="F10" s="112" t="s">
        <v>1162</v>
      </c>
      <c r="G10" s="487" t="s">
        <v>7105</v>
      </c>
      <c r="H10" s="111"/>
    </row>
    <row r="11" spans="1:8">
      <c r="A11" s="111" t="s">
        <v>1417</v>
      </c>
      <c r="B11" s="111"/>
      <c r="C11" s="111"/>
      <c r="D11" s="111"/>
      <c r="E11" s="111"/>
      <c r="F11" s="112" t="s">
        <v>1163</v>
      </c>
      <c r="G11" s="484" t="s">
        <v>1094</v>
      </c>
      <c r="H11" s="111"/>
    </row>
    <row r="12" spans="1:8">
      <c r="A12" s="111" t="s">
        <v>1413</v>
      </c>
      <c r="B12" s="111"/>
      <c r="C12" s="111"/>
      <c r="D12" s="111"/>
      <c r="E12" s="111"/>
      <c r="F12" s="112" t="s">
        <v>1135</v>
      </c>
      <c r="G12" s="486" t="s">
        <v>7118</v>
      </c>
      <c r="H12" s="111"/>
    </row>
    <row r="13" spans="1:8">
      <c r="A13" s="111"/>
      <c r="B13" s="111"/>
      <c r="C13" s="111"/>
      <c r="D13" s="111"/>
      <c r="E13" s="111"/>
      <c r="F13" s="111"/>
      <c r="G13" s="488" t="s">
        <v>6182</v>
      </c>
      <c r="H13" s="111"/>
    </row>
    <row r="14" spans="1:8">
      <c r="A14" s="111"/>
      <c r="B14" s="111"/>
      <c r="C14" s="111"/>
      <c r="D14" s="111"/>
      <c r="E14" s="111"/>
      <c r="F14" s="111"/>
      <c r="G14" s="483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446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</row>
    <row r="18" spans="1:9">
      <c r="A18" s="111"/>
      <c r="B18" s="111"/>
      <c r="C18" s="111"/>
      <c r="D18" s="2"/>
      <c r="E18" s="2"/>
      <c r="F18" s="111"/>
      <c r="G18" s="111"/>
      <c r="H18" s="111"/>
    </row>
    <row r="19" spans="1:9">
      <c r="A19" s="112"/>
      <c r="B19" s="116"/>
      <c r="C19" s="116"/>
      <c r="D19" s="2" t="s">
        <v>1552</v>
      </c>
      <c r="E19" s="2"/>
      <c r="F19" s="111"/>
      <c r="G19" s="111"/>
      <c r="H19" s="111"/>
      <c r="I19" s="111"/>
    </row>
    <row r="20" spans="1:9">
      <c r="A20" s="116"/>
      <c r="B20" s="116"/>
      <c r="C20" s="116"/>
      <c r="D20" s="482" t="s">
        <v>6837</v>
      </c>
      <c r="E20" s="2"/>
      <c r="F20" s="111"/>
      <c r="G20" s="111"/>
      <c r="H20" s="111"/>
      <c r="I20" s="111"/>
    </row>
    <row r="21" spans="1:9">
      <c r="A21" s="116"/>
      <c r="B21" s="120"/>
      <c r="C21" s="120"/>
      <c r="I21" s="111"/>
    </row>
    <row r="22" spans="1:9">
      <c r="A22" s="116"/>
      <c r="B22" s="120"/>
      <c r="C22" s="120"/>
      <c r="D22" s="111" t="s">
        <v>4000</v>
      </c>
      <c r="E22" s="111"/>
      <c r="F22" s="111"/>
      <c r="G22" s="111"/>
      <c r="H22" s="111"/>
      <c r="I22" s="111"/>
    </row>
    <row r="23" spans="1:9">
      <c r="A23" s="116"/>
      <c r="B23" s="120"/>
      <c r="C23" s="120"/>
      <c r="D23" s="111" t="s">
        <v>1625</v>
      </c>
      <c r="E23" s="111"/>
      <c r="F23" s="111"/>
      <c r="G23" s="111"/>
      <c r="H23" s="111">
        <v>116.38</v>
      </c>
      <c r="I23" s="111"/>
    </row>
    <row r="24" spans="1:9">
      <c r="A24" s="116"/>
      <c r="B24" s="120"/>
      <c r="C24" s="120"/>
      <c r="D24" s="483" t="s">
        <v>6633</v>
      </c>
      <c r="E24" s="111"/>
      <c r="F24" s="111"/>
      <c r="G24" s="111"/>
      <c r="H24" s="111">
        <v>100.43</v>
      </c>
      <c r="I24" s="111"/>
    </row>
    <row r="25" spans="1:9">
      <c r="A25" s="116"/>
      <c r="B25" s="120"/>
      <c r="C25" s="120"/>
      <c r="D25" s="111" t="s">
        <v>6204</v>
      </c>
      <c r="E25" s="111"/>
      <c r="H25" s="111">
        <v>0.02</v>
      </c>
      <c r="I25" s="111"/>
    </row>
    <row r="26" spans="1:9">
      <c r="A26" s="116"/>
      <c r="B26" s="120"/>
      <c r="C26" s="120"/>
      <c r="D26" s="111"/>
      <c r="E26" s="111"/>
      <c r="H26" s="111"/>
      <c r="I26" s="111"/>
    </row>
    <row r="27" spans="1:9">
      <c r="A27" s="116"/>
      <c r="B27" s="120"/>
      <c r="C27" s="120"/>
      <c r="I27" s="111"/>
    </row>
    <row r="28" spans="1:9">
      <c r="A28" s="116"/>
      <c r="B28" s="120"/>
      <c r="C28" s="120"/>
      <c r="I28" s="111"/>
    </row>
    <row r="29" spans="1:9">
      <c r="A29" s="116"/>
      <c r="B29" s="120"/>
      <c r="C29" s="120"/>
      <c r="D29" s="111"/>
      <c r="E29" s="111"/>
      <c r="F29" s="111"/>
      <c r="G29" s="111"/>
      <c r="H29" s="111"/>
      <c r="I29" s="111"/>
    </row>
    <row r="30" spans="1:9">
      <c r="A30" s="116"/>
      <c r="B30" s="120"/>
      <c r="C30" s="120"/>
      <c r="D30" s="111"/>
      <c r="E30" s="111"/>
      <c r="F30" s="111"/>
      <c r="G30" s="111"/>
      <c r="H30" s="111"/>
      <c r="I30" s="111"/>
    </row>
    <row r="31" spans="1:9">
      <c r="A31" s="116"/>
      <c r="B31" s="120"/>
      <c r="C31" s="120"/>
      <c r="D31" s="111"/>
      <c r="E31" s="111"/>
      <c r="F31" s="111"/>
      <c r="G31" s="111"/>
      <c r="H31" s="111"/>
      <c r="I31" s="111"/>
    </row>
    <row r="32" spans="1:9">
      <c r="A32" s="111"/>
      <c r="B32" s="111"/>
      <c r="C32" s="111"/>
      <c r="D32" s="111"/>
      <c r="E32" s="111"/>
      <c r="F32" s="111"/>
      <c r="G32" s="111"/>
      <c r="I32" s="111"/>
    </row>
    <row r="33" spans="1:9" ht="13.5" thickBot="1">
      <c r="A33" s="111"/>
      <c r="B33" s="111"/>
      <c r="C33" s="111"/>
      <c r="D33" s="111"/>
      <c r="E33" s="111"/>
      <c r="F33" s="111"/>
      <c r="G33" s="111"/>
      <c r="H33" s="117">
        <f>SUM(H20:H32)</f>
        <v>216.83</v>
      </c>
      <c r="I33" s="111"/>
    </row>
    <row r="34" spans="1:9" ht="13.5" thickTop="1">
      <c r="A34" s="111"/>
      <c r="B34" s="111"/>
      <c r="C34" s="111"/>
      <c r="D34" s="111"/>
      <c r="E34" s="111"/>
      <c r="F34" s="111"/>
      <c r="G34" s="111"/>
      <c r="H34" s="111"/>
      <c r="I34" s="111"/>
    </row>
    <row r="35" spans="1:9" ht="20.100000000000001" customHeight="1">
      <c r="A35" s="118" t="s">
        <v>1133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Two Hundred Sixteen and 83/100 -----------</v>
      </c>
      <c r="C35" s="202"/>
      <c r="D35" s="119"/>
      <c r="E35" s="119"/>
      <c r="F35" s="119"/>
      <c r="G35" s="119"/>
      <c r="H35" s="119"/>
      <c r="I35" s="111"/>
    </row>
    <row r="36" spans="1:9">
      <c r="A36" s="120" t="s">
        <v>11</v>
      </c>
      <c r="B36" s="111"/>
      <c r="C36" s="111"/>
      <c r="D36" s="111"/>
      <c r="E36" s="111"/>
      <c r="F36" s="111"/>
      <c r="G36" s="111"/>
      <c r="H36" s="111"/>
    </row>
    <row r="37" spans="1:9" ht="25.5">
      <c r="A37" s="126" t="s">
        <v>10</v>
      </c>
      <c r="B37" s="111"/>
      <c r="C37" s="111"/>
      <c r="D37" s="111"/>
      <c r="E37" s="111"/>
      <c r="F37" s="265" t="s">
        <v>2894</v>
      </c>
      <c r="G37" s="266"/>
      <c r="H37" s="267"/>
    </row>
    <row r="38" spans="1:9">
      <c r="A38" s="111"/>
      <c r="B38" s="111"/>
      <c r="C38" s="111"/>
      <c r="D38" s="111"/>
      <c r="E38" s="111"/>
      <c r="F38" s="111"/>
      <c r="G38" s="111"/>
      <c r="H38" s="111"/>
    </row>
    <row r="39" spans="1:9">
      <c r="A39" s="126"/>
      <c r="B39" s="111"/>
      <c r="C39" s="111"/>
      <c r="D39" s="111"/>
      <c r="E39" s="111"/>
    </row>
    <row r="40" spans="1:9">
      <c r="A40" s="111"/>
      <c r="B40" s="111"/>
      <c r="C40" s="111"/>
      <c r="D40" s="121"/>
      <c r="E40" s="121"/>
      <c r="F40" s="111"/>
      <c r="G40" s="111"/>
      <c r="H40" s="111"/>
    </row>
    <row r="41" spans="1:9">
      <c r="A41" s="122"/>
      <c r="B41" s="122"/>
      <c r="C41" s="433"/>
      <c r="D41" s="111"/>
      <c r="E41" s="111"/>
      <c r="F41" s="111"/>
      <c r="G41" s="111"/>
      <c r="H41" s="111"/>
    </row>
    <row r="42" spans="1:9">
      <c r="B42" s="111"/>
      <c r="C42" s="111"/>
      <c r="D42" s="111"/>
      <c r="E42" s="111"/>
      <c r="F42" s="111"/>
      <c r="G42" s="111"/>
      <c r="H42" s="111"/>
    </row>
    <row r="43" spans="1:9">
      <c r="A43" s="123" t="s">
        <v>8</v>
      </c>
      <c r="D43" s="123" t="s">
        <v>8</v>
      </c>
      <c r="E43" s="111"/>
      <c r="F43" s="123" t="s">
        <v>7</v>
      </c>
      <c r="G43" s="111"/>
      <c r="H43" s="124"/>
    </row>
    <row r="44" spans="1:9">
      <c r="A44" s="111"/>
      <c r="B44" s="111"/>
      <c r="C44" s="111"/>
      <c r="D44" s="111"/>
      <c r="E44" s="111"/>
      <c r="F44" s="111"/>
      <c r="G44" s="111"/>
      <c r="H44" s="111"/>
    </row>
    <row r="45" spans="1:9">
      <c r="A45" s="111"/>
      <c r="B45" s="111"/>
      <c r="C45" s="111"/>
      <c r="D45" s="111"/>
      <c r="E45" s="111"/>
      <c r="F45" s="111"/>
      <c r="G45" s="111"/>
      <c r="H45" s="111"/>
    </row>
    <row r="46" spans="1:9">
      <c r="A46" s="111"/>
      <c r="B46" s="111"/>
      <c r="C46" s="111"/>
      <c r="D46" s="111"/>
      <c r="E46" s="111"/>
      <c r="F46" s="111"/>
      <c r="G46" s="111"/>
      <c r="H46" s="111"/>
    </row>
    <row r="47" spans="1:9">
      <c r="A47" s="122"/>
      <c r="B47" s="122"/>
      <c r="C47" s="433"/>
      <c r="D47" s="122"/>
      <c r="E47" s="111"/>
      <c r="F47" s="122"/>
      <c r="G47" s="122"/>
      <c r="H47" s="122"/>
    </row>
    <row r="48" spans="1:9" s="3" customFormat="1" ht="17.100000000000001" customHeight="1">
      <c r="A48" s="151" t="s">
        <v>2948</v>
      </c>
      <c r="B48" s="125"/>
      <c r="C48" s="125"/>
      <c r="D48" s="151" t="s">
        <v>103</v>
      </c>
      <c r="E48" s="126"/>
      <c r="F48" s="126" t="s">
        <v>3</v>
      </c>
      <c r="G48" s="126"/>
      <c r="H48" s="126"/>
    </row>
    <row r="49" spans="1:8">
      <c r="A49" s="111"/>
      <c r="B49" s="111"/>
      <c r="C49" s="111"/>
      <c r="D49" s="111"/>
      <c r="E49" s="111"/>
      <c r="F49" s="111" t="s">
        <v>2</v>
      </c>
      <c r="G49" s="111"/>
      <c r="H49" s="111"/>
    </row>
    <row r="50" spans="1:8">
      <c r="A50" s="151"/>
      <c r="B50" s="111"/>
      <c r="C50" s="111"/>
      <c r="D50" s="111"/>
      <c r="E50" s="111"/>
      <c r="F50" s="111"/>
      <c r="G50" s="111"/>
      <c r="H50" s="111"/>
    </row>
    <row r="51" spans="1:8">
      <c r="A51" s="111"/>
      <c r="B51" s="111"/>
      <c r="C51" s="111"/>
      <c r="D51" s="111"/>
      <c r="E51" s="111"/>
      <c r="F51" s="2" t="s">
        <v>1</v>
      </c>
      <c r="G51" s="111"/>
      <c r="H51" s="111"/>
    </row>
    <row r="52" spans="1:8">
      <c r="A52" s="111"/>
      <c r="B52" s="111"/>
      <c r="C52" s="111"/>
      <c r="D52" s="111"/>
      <c r="E52" s="111"/>
      <c r="F52" s="2" t="s">
        <v>0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1-000000000000}">
  <sheetPr codeName="Sheet260">
    <pageSetUpPr fitToPage="1"/>
  </sheetPr>
  <dimension ref="A1:J54"/>
  <sheetViews>
    <sheetView view="pageBreakPreview" topLeftCell="A4" zoomScaleNormal="100" zoomScaleSheetLayoutView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0.5703125" style="1" customWidth="1"/>
    <col min="4" max="4" width="23" style="1" customWidth="1"/>
    <col min="5" max="5" width="0.570312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483" t="s">
        <v>7214</v>
      </c>
      <c r="H9" s="483"/>
    </row>
    <row r="10" spans="1:8">
      <c r="A10" s="123" t="s">
        <v>1584</v>
      </c>
      <c r="B10" s="111"/>
      <c r="C10" s="111"/>
      <c r="D10" s="111"/>
      <c r="E10" s="111"/>
      <c r="F10" s="112" t="s">
        <v>1162</v>
      </c>
      <c r="G10" s="484" t="s">
        <v>7191</v>
      </c>
      <c r="H10" s="483"/>
    </row>
    <row r="11" spans="1:8">
      <c r="A11" s="123" t="s">
        <v>1417</v>
      </c>
      <c r="B11" s="111"/>
      <c r="C11" s="111"/>
      <c r="D11" s="111"/>
      <c r="E11" s="111"/>
      <c r="F11" s="112" t="s">
        <v>1163</v>
      </c>
      <c r="G11" s="484" t="s">
        <v>1094</v>
      </c>
      <c r="H11" s="483"/>
    </row>
    <row r="12" spans="1:8">
      <c r="A12" s="123" t="s">
        <v>1413</v>
      </c>
      <c r="B12" s="111"/>
      <c r="C12" s="111"/>
      <c r="D12" s="111"/>
      <c r="E12" s="111"/>
      <c r="F12" s="112" t="s">
        <v>1135</v>
      </c>
      <c r="G12" s="484" t="s">
        <v>7168</v>
      </c>
      <c r="H12" s="483"/>
    </row>
    <row r="13" spans="1:8">
      <c r="A13" s="111"/>
      <c r="B13" s="111"/>
      <c r="C13" s="111"/>
      <c r="D13" s="111"/>
      <c r="E13" s="111"/>
      <c r="F13" s="111"/>
      <c r="G13" s="483" t="s">
        <v>7192</v>
      </c>
      <c r="H13" s="483"/>
    </row>
    <row r="14" spans="1:8">
      <c r="A14" s="111"/>
      <c r="B14" s="111"/>
      <c r="C14" s="111"/>
      <c r="D14" s="111"/>
      <c r="E14" s="111"/>
      <c r="F14" s="111"/>
      <c r="G14" s="483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450"/>
      <c r="D16" s="19" t="s">
        <v>14</v>
      </c>
      <c r="E16" s="19"/>
      <c r="F16" s="18"/>
      <c r="G16" s="17"/>
      <c r="H16" s="16" t="s">
        <v>13</v>
      </c>
    </row>
    <row r="17" spans="1:10">
      <c r="A17" s="111"/>
      <c r="B17" s="111"/>
      <c r="C17" s="111"/>
      <c r="D17" s="111"/>
      <c r="E17" s="111"/>
      <c r="F17" s="111"/>
      <c r="G17" s="111"/>
      <c r="H17" s="111"/>
    </row>
    <row r="18" spans="1:10">
      <c r="A18" s="111"/>
      <c r="B18" s="111"/>
      <c r="C18" s="111"/>
      <c r="D18" s="2"/>
      <c r="E18" s="2"/>
      <c r="F18" s="111"/>
      <c r="G18" s="111"/>
      <c r="H18" s="111"/>
    </row>
    <row r="19" spans="1:10">
      <c r="A19" s="112"/>
      <c r="B19" s="116"/>
      <c r="C19" s="116"/>
      <c r="D19" s="2" t="s">
        <v>1552</v>
      </c>
      <c r="E19" s="2"/>
      <c r="F19" s="111"/>
      <c r="G19" s="111"/>
      <c r="H19" s="111"/>
      <c r="I19" s="111"/>
    </row>
    <row r="20" spans="1:10">
      <c r="A20" s="116"/>
      <c r="B20" s="116"/>
      <c r="C20" s="116"/>
      <c r="D20" s="482" t="s">
        <v>7212</v>
      </c>
      <c r="E20" s="2"/>
      <c r="F20" s="111"/>
      <c r="G20" s="111"/>
      <c r="H20" s="111"/>
      <c r="I20" s="111"/>
    </row>
    <row r="21" spans="1:10">
      <c r="A21" s="116"/>
      <c r="B21" s="120"/>
      <c r="C21" s="120"/>
      <c r="I21" s="111"/>
    </row>
    <row r="22" spans="1:10">
      <c r="A22" s="116"/>
      <c r="B22" s="120"/>
      <c r="C22" s="120"/>
      <c r="D22" s="111" t="s">
        <v>3979</v>
      </c>
      <c r="E22" s="111"/>
      <c r="F22" s="111"/>
      <c r="G22" s="111"/>
      <c r="H22" s="111">
        <v>11.43</v>
      </c>
      <c r="I22" s="111"/>
    </row>
    <row r="23" spans="1:10">
      <c r="A23" s="116"/>
      <c r="B23" s="120"/>
      <c r="C23" s="120"/>
      <c r="D23" s="111" t="s">
        <v>5987</v>
      </c>
      <c r="E23" s="111"/>
      <c r="F23" s="111"/>
      <c r="G23" s="111"/>
      <c r="H23" s="111">
        <v>0.02</v>
      </c>
      <c r="I23" s="111"/>
      <c r="J23" s="111"/>
    </row>
    <row r="24" spans="1:10">
      <c r="A24" s="116"/>
      <c r="B24" s="120"/>
      <c r="C24" s="120"/>
      <c r="D24" s="111"/>
      <c r="E24" s="111"/>
      <c r="F24" s="111"/>
      <c r="G24" s="111"/>
      <c r="H24" s="111"/>
      <c r="I24" s="111"/>
      <c r="J24" s="111"/>
    </row>
    <row r="25" spans="1:10">
      <c r="A25" s="116"/>
      <c r="B25" s="120"/>
      <c r="C25" s="120"/>
      <c r="D25" s="111"/>
      <c r="E25" s="111"/>
      <c r="F25" s="111"/>
      <c r="G25" s="111"/>
      <c r="H25" s="111"/>
      <c r="I25" s="111"/>
      <c r="J25" s="111"/>
    </row>
    <row r="26" spans="1:10">
      <c r="A26" s="116"/>
      <c r="B26" s="120"/>
      <c r="C26" s="120"/>
      <c r="D26" s="111"/>
      <c r="E26" s="111"/>
      <c r="F26" s="111"/>
      <c r="G26" s="111"/>
      <c r="H26" s="111"/>
      <c r="I26" s="111"/>
    </row>
    <row r="27" spans="1:10">
      <c r="A27" s="116"/>
      <c r="B27" s="120"/>
      <c r="C27" s="120"/>
      <c r="I27" s="111"/>
    </row>
    <row r="28" spans="1:10">
      <c r="A28" s="116"/>
      <c r="B28" s="120"/>
      <c r="C28" s="120"/>
      <c r="I28" s="111"/>
    </row>
    <row r="29" spans="1:10">
      <c r="A29" s="116"/>
      <c r="B29" s="120"/>
      <c r="C29" s="120"/>
      <c r="D29" s="111"/>
      <c r="E29" s="111"/>
      <c r="F29" s="111"/>
      <c r="G29" s="111"/>
      <c r="H29" s="111"/>
      <c r="I29" s="111"/>
    </row>
    <row r="30" spans="1:10">
      <c r="A30" s="116"/>
      <c r="B30" s="120"/>
      <c r="C30" s="120"/>
      <c r="D30" s="111"/>
      <c r="E30" s="111"/>
      <c r="F30" s="111"/>
      <c r="G30" s="111"/>
      <c r="H30" s="111"/>
      <c r="I30" s="111"/>
    </row>
    <row r="31" spans="1:10">
      <c r="A31" s="116"/>
      <c r="B31" s="120"/>
      <c r="C31" s="120"/>
      <c r="D31" s="111"/>
      <c r="E31" s="111"/>
      <c r="F31" s="111"/>
      <c r="G31" s="111"/>
      <c r="H31" s="111"/>
      <c r="I31" s="111"/>
    </row>
    <row r="32" spans="1:10">
      <c r="A32" s="111"/>
      <c r="B32" s="111"/>
      <c r="C32" s="111"/>
      <c r="D32" s="111"/>
      <c r="E32" s="111"/>
      <c r="F32" s="111"/>
      <c r="G32" s="111"/>
      <c r="I32" s="111"/>
    </row>
    <row r="33" spans="1:9" ht="13.5" thickBot="1">
      <c r="A33" s="111"/>
      <c r="B33" s="111"/>
      <c r="C33" s="111"/>
      <c r="D33" s="111"/>
      <c r="E33" s="111"/>
      <c r="F33" s="111"/>
      <c r="G33" s="111"/>
      <c r="H33" s="117">
        <f>SUM(H20:H32)</f>
        <v>11.45</v>
      </c>
      <c r="I33" s="111"/>
    </row>
    <row r="34" spans="1:9" ht="13.5" thickTop="1">
      <c r="A34" s="111"/>
      <c r="B34" s="111"/>
      <c r="C34" s="111"/>
      <c r="D34" s="111"/>
      <c r="E34" s="111"/>
      <c r="F34" s="111"/>
      <c r="G34" s="111"/>
      <c r="H34" s="111"/>
      <c r="I34" s="111"/>
    </row>
    <row r="35" spans="1:9" ht="20.100000000000001" customHeight="1">
      <c r="A35" s="118" t="s">
        <v>1133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Eleven and 45/100 -----------</v>
      </c>
      <c r="C35" s="202"/>
      <c r="D35" s="119"/>
      <c r="E35" s="119"/>
      <c r="F35" s="119"/>
      <c r="G35" s="119"/>
      <c r="H35" s="119"/>
      <c r="I35" s="111"/>
    </row>
    <row r="36" spans="1:9">
      <c r="A36" s="120" t="s">
        <v>11</v>
      </c>
      <c r="B36" s="111"/>
      <c r="C36" s="111"/>
      <c r="D36" s="111"/>
      <c r="E36" s="111"/>
      <c r="F36" s="111"/>
      <c r="G36" s="111"/>
      <c r="H36" s="111"/>
    </row>
    <row r="37" spans="1:9" ht="25.5">
      <c r="A37" s="272" t="s">
        <v>10</v>
      </c>
      <c r="B37" s="111"/>
      <c r="C37" s="111"/>
      <c r="D37" s="111"/>
      <c r="E37" s="111"/>
      <c r="F37" s="265" t="s">
        <v>2894</v>
      </c>
      <c r="G37" s="266"/>
      <c r="H37" s="267"/>
    </row>
    <row r="38" spans="1:9">
      <c r="A38" s="111"/>
      <c r="B38" s="111"/>
      <c r="C38" s="111"/>
      <c r="D38" s="111"/>
      <c r="E38" s="111"/>
      <c r="F38" s="111"/>
      <c r="G38" s="111"/>
      <c r="H38" s="111"/>
    </row>
    <row r="39" spans="1:9">
      <c r="A39" s="126"/>
      <c r="B39" s="111"/>
      <c r="C39" s="111"/>
      <c r="D39" s="111"/>
      <c r="E39" s="111"/>
    </row>
    <row r="40" spans="1:9">
      <c r="A40" s="111"/>
      <c r="B40" s="111"/>
      <c r="C40" s="111"/>
      <c r="D40" s="121"/>
      <c r="E40" s="121"/>
      <c r="F40" s="111"/>
      <c r="G40" s="111"/>
      <c r="H40" s="111"/>
    </row>
    <row r="41" spans="1:9">
      <c r="A41" s="122"/>
      <c r="B41" s="122"/>
      <c r="C41" s="433"/>
      <c r="D41" s="111"/>
      <c r="E41" s="111"/>
      <c r="F41" s="111"/>
      <c r="G41" s="111"/>
      <c r="H41" s="111"/>
    </row>
    <row r="42" spans="1:9">
      <c r="B42" s="111"/>
      <c r="C42" s="111"/>
      <c r="D42" s="111"/>
      <c r="E42" s="111"/>
      <c r="F42" s="111"/>
      <c r="G42" s="111"/>
      <c r="H42" s="111"/>
    </row>
    <row r="43" spans="1:9">
      <c r="A43" s="123" t="s">
        <v>8</v>
      </c>
      <c r="D43" s="123" t="s">
        <v>8</v>
      </c>
      <c r="E43" s="111"/>
      <c r="F43" s="123" t="s">
        <v>7</v>
      </c>
      <c r="G43" s="111"/>
      <c r="H43" s="124"/>
    </row>
    <row r="44" spans="1:9">
      <c r="A44" s="111"/>
      <c r="B44" s="111"/>
      <c r="C44" s="111"/>
      <c r="D44" s="111"/>
      <c r="E44" s="111"/>
      <c r="F44" s="111"/>
      <c r="G44" s="111"/>
      <c r="H44" s="111"/>
    </row>
    <row r="45" spans="1:9">
      <c r="A45" s="111"/>
      <c r="B45" s="111"/>
      <c r="C45" s="111"/>
      <c r="D45" s="111"/>
      <c r="E45" s="111"/>
      <c r="F45" s="111"/>
      <c r="G45" s="111"/>
      <c r="H45" s="111"/>
    </row>
    <row r="46" spans="1:9">
      <c r="A46" s="111"/>
      <c r="B46" s="111"/>
      <c r="C46" s="111"/>
      <c r="D46" s="111"/>
      <c r="E46" s="111"/>
      <c r="F46" s="111"/>
      <c r="G46" s="111"/>
      <c r="H46" s="111"/>
    </row>
    <row r="47" spans="1:9">
      <c r="A47" s="122"/>
      <c r="B47" s="122"/>
      <c r="C47" s="433"/>
      <c r="D47" s="122"/>
      <c r="E47" s="111"/>
      <c r="F47" s="122"/>
      <c r="G47" s="122"/>
      <c r="H47" s="122"/>
    </row>
    <row r="48" spans="1:9" s="3" customFormat="1" ht="17.100000000000001" customHeight="1">
      <c r="A48" s="151" t="s">
        <v>2948</v>
      </c>
      <c r="B48" s="125"/>
      <c r="C48" s="125"/>
      <c r="D48" s="151" t="s">
        <v>103</v>
      </c>
      <c r="E48" s="126"/>
      <c r="F48" s="126" t="s">
        <v>3</v>
      </c>
      <c r="G48" s="126"/>
      <c r="H48" s="126"/>
    </row>
    <row r="49" spans="1:8">
      <c r="A49" s="111"/>
      <c r="B49" s="111"/>
      <c r="C49" s="111"/>
      <c r="D49" s="111"/>
      <c r="E49" s="111"/>
      <c r="F49" s="111" t="s">
        <v>2</v>
      </c>
      <c r="G49" s="111"/>
      <c r="H49" s="111"/>
    </row>
    <row r="50" spans="1:8">
      <c r="A50" s="151"/>
      <c r="B50" s="111"/>
      <c r="C50" s="111"/>
      <c r="D50" s="111"/>
      <c r="E50" s="111"/>
      <c r="F50" s="111"/>
      <c r="G50" s="111"/>
      <c r="H50" s="111"/>
    </row>
    <row r="51" spans="1:8">
      <c r="A51" s="111"/>
      <c r="B51" s="111"/>
      <c r="C51" s="111"/>
      <c r="D51" s="111"/>
      <c r="E51" s="111"/>
      <c r="F51" s="2" t="s">
        <v>1</v>
      </c>
      <c r="G51" s="111"/>
      <c r="H51" s="111"/>
    </row>
    <row r="52" spans="1:8">
      <c r="A52" s="111"/>
      <c r="B52" s="111"/>
      <c r="C52" s="111"/>
      <c r="D52" s="111"/>
      <c r="E52" s="111"/>
      <c r="F52" s="2" t="s">
        <v>0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Sheet16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2.140625" style="111" customWidth="1"/>
    <col min="3" max="3" width="23" style="111" customWidth="1"/>
    <col min="4" max="4" width="13.5703125" style="111" customWidth="1"/>
    <col min="5" max="5" width="9.5703125" style="111" customWidth="1"/>
    <col min="6" max="6" width="13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1090</v>
      </c>
      <c r="E9" s="111" t="s">
        <v>1589</v>
      </c>
    </row>
    <row r="10" spans="1:6">
      <c r="A10" s="111" t="s">
        <v>1591</v>
      </c>
      <c r="D10" s="112" t="s">
        <v>1340</v>
      </c>
      <c r="E10" s="112" t="s">
        <v>1586</v>
      </c>
    </row>
    <row r="11" spans="1:6">
      <c r="A11" s="120" t="s">
        <v>1592</v>
      </c>
      <c r="D11" s="112" t="s">
        <v>1341</v>
      </c>
      <c r="E11" s="112" t="s">
        <v>1094</v>
      </c>
    </row>
    <row r="12" spans="1:6">
      <c r="A12" s="111" t="s">
        <v>1593</v>
      </c>
      <c r="D12" s="112" t="s">
        <v>1135</v>
      </c>
      <c r="E12" s="112" t="s">
        <v>1590</v>
      </c>
    </row>
    <row r="13" spans="1:6">
      <c r="A13" s="111" t="s">
        <v>1594</v>
      </c>
    </row>
    <row r="16" spans="1:6" s="15" customFormat="1" ht="20.100000000000001" customHeight="1">
      <c r="A16" s="18" t="s">
        <v>1113</v>
      </c>
      <c r="B16" s="129" t="s">
        <v>1114</v>
      </c>
      <c r="C16" s="533" t="s">
        <v>14</v>
      </c>
      <c r="D16" s="533"/>
      <c r="E16" s="17"/>
      <c r="F16" s="16" t="s">
        <v>13</v>
      </c>
    </row>
    <row r="19" spans="1:6">
      <c r="A19" s="116" t="s">
        <v>1595</v>
      </c>
      <c r="B19" s="116" t="s">
        <v>1596</v>
      </c>
      <c r="C19" s="111" t="s">
        <v>1597</v>
      </c>
      <c r="F19" s="111">
        <v>100</v>
      </c>
    </row>
    <row r="33" spans="1:6" ht="13.5" thickBot="1">
      <c r="F33" s="117">
        <f>SUM(F20:F32)</f>
        <v>0</v>
      </c>
    </row>
    <row r="34" spans="1:6" ht="13.5" thickTop="1"/>
    <row r="35" spans="1:6" ht="20.100000000000001" customHeight="1">
      <c r="A35" s="118" t="s">
        <v>1133</v>
      </c>
      <c r="B35" s="118" t="s">
        <v>1598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5">
    <mergeCell ref="C16:D16"/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1-000000000000}">
  <sheetPr codeName="Sheet144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1401</v>
      </c>
      <c r="F9" s="111"/>
    </row>
    <row r="10" spans="1:6">
      <c r="A10" s="111" t="s">
        <v>1403</v>
      </c>
      <c r="B10" s="111"/>
      <c r="C10" s="111"/>
      <c r="D10" s="112" t="s">
        <v>1162</v>
      </c>
      <c r="E10" s="112" t="s">
        <v>1396</v>
      </c>
      <c r="F10" s="111"/>
    </row>
    <row r="11" spans="1:6">
      <c r="A11" s="111"/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1135</v>
      </c>
      <c r="E12" s="112" t="s">
        <v>1402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168" t="s">
        <v>1404</v>
      </c>
      <c r="D18" s="111"/>
      <c r="E18" s="111"/>
      <c r="F18" s="111"/>
    </row>
    <row r="19" spans="1:6">
      <c r="A19" s="116"/>
      <c r="B19" s="116"/>
      <c r="C19" s="111"/>
      <c r="D19" s="111"/>
      <c r="E19" s="111"/>
      <c r="F19" s="111"/>
    </row>
    <row r="20" spans="1:6">
      <c r="A20" s="116" t="s">
        <v>1405</v>
      </c>
      <c r="B20" s="116"/>
      <c r="C20" s="111" t="s">
        <v>1406</v>
      </c>
      <c r="D20" s="111"/>
      <c r="E20" s="111"/>
      <c r="F20" s="111"/>
    </row>
    <row r="21" spans="1:6">
      <c r="A21" s="116"/>
      <c r="B21" s="120"/>
      <c r="C21" s="111" t="s">
        <v>1407</v>
      </c>
      <c r="D21" s="111"/>
      <c r="E21" s="111"/>
      <c r="F21" s="111">
        <v>1600</v>
      </c>
    </row>
    <row r="22" spans="1:6">
      <c r="A22" s="116"/>
      <c r="B22" s="120"/>
      <c r="C22" s="111" t="s">
        <v>1408</v>
      </c>
      <c r="D22" s="111"/>
      <c r="E22" s="111"/>
      <c r="F22" s="111">
        <v>400</v>
      </c>
    </row>
    <row r="23" spans="1:6">
      <c r="A23" s="116"/>
      <c r="B23" s="120"/>
      <c r="C23" s="111"/>
      <c r="D23" s="111"/>
      <c r="E23" s="111"/>
      <c r="F23" s="111"/>
    </row>
    <row r="24" spans="1:6">
      <c r="A24" s="116"/>
      <c r="B24" s="120"/>
      <c r="C24" s="111"/>
      <c r="D24" s="111"/>
      <c r="E24" s="111"/>
      <c r="F24" s="111"/>
    </row>
    <row r="25" spans="1:6">
      <c r="A25" s="116"/>
      <c r="B25" s="120"/>
      <c r="C25" s="111"/>
      <c r="D25" s="111"/>
      <c r="E25" s="111"/>
      <c r="F25" s="111"/>
    </row>
    <row r="26" spans="1:6">
      <c r="A26" s="116"/>
      <c r="B26" s="120"/>
      <c r="C26" s="111"/>
      <c r="D26" s="111"/>
      <c r="E26" s="111"/>
      <c r="F26" s="111"/>
    </row>
    <row r="27" spans="1:6">
      <c r="A27" s="116"/>
      <c r="B27" s="120"/>
      <c r="C27" s="111"/>
      <c r="D27" s="111"/>
      <c r="E27" s="111"/>
      <c r="F27" s="111"/>
    </row>
    <row r="28" spans="1:6">
      <c r="A28" s="116"/>
      <c r="B28" s="120"/>
      <c r="C28" s="111"/>
      <c r="D28" s="111"/>
      <c r="E28" s="111"/>
      <c r="F28" s="111"/>
    </row>
    <row r="29" spans="1:6">
      <c r="A29" s="116"/>
      <c r="B29" s="120"/>
      <c r="C29" s="111"/>
      <c r="D29" s="111"/>
      <c r="E29" s="111"/>
      <c r="F29" s="111"/>
    </row>
    <row r="30" spans="1:6">
      <c r="A30" s="116"/>
      <c r="B30" s="120"/>
      <c r="C30" s="111"/>
      <c r="D30" s="111"/>
      <c r="E30" s="111"/>
      <c r="F30" s="111"/>
    </row>
    <row r="31" spans="1:6">
      <c r="A31" s="116"/>
      <c r="B31" s="120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2000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1409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B42" s="111"/>
      <c r="C42" s="111"/>
      <c r="D42" s="111"/>
      <c r="E42" s="111"/>
      <c r="F42" s="111"/>
    </row>
    <row r="43" spans="1:6">
      <c r="A43" s="123" t="s">
        <v>8</v>
      </c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1-000000000000}">
  <sheetPr codeName="Sheet145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4.42578125" style="111" customWidth="1"/>
    <col min="3" max="3" width="22.42578125" style="111" customWidth="1"/>
    <col min="4" max="4" width="13.140625" style="111" customWidth="1"/>
    <col min="5" max="5" width="8.2851562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3171</v>
      </c>
    </row>
    <row r="10" spans="1:6">
      <c r="A10" s="111" t="s">
        <v>1352</v>
      </c>
      <c r="D10" s="112" t="s">
        <v>1180</v>
      </c>
      <c r="E10" s="123" t="s">
        <v>3170</v>
      </c>
    </row>
    <row r="11" spans="1:6">
      <c r="A11" s="111" t="s">
        <v>1760</v>
      </c>
      <c r="D11" s="112" t="s">
        <v>1181</v>
      </c>
      <c r="E11" s="112" t="s">
        <v>1094</v>
      </c>
    </row>
    <row r="12" spans="1:6">
      <c r="A12" s="111" t="s">
        <v>1353</v>
      </c>
      <c r="D12" s="112" t="s">
        <v>1182</v>
      </c>
      <c r="E12" s="120" t="s">
        <v>3172</v>
      </c>
    </row>
    <row r="13" spans="1:6">
      <c r="A13" s="111" t="s">
        <v>1354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61"/>
      <c r="B18" s="161"/>
      <c r="C18" s="2"/>
    </row>
    <row r="19" spans="1:6">
      <c r="A19" s="116" t="s">
        <v>3173</v>
      </c>
      <c r="B19" s="116" t="s">
        <v>3174</v>
      </c>
      <c r="C19" s="111" t="s">
        <v>3175</v>
      </c>
      <c r="F19" s="149">
        <v>150</v>
      </c>
    </row>
    <row r="21" spans="1:6">
      <c r="A21" s="116"/>
      <c r="B21" s="121"/>
      <c r="F21" s="149"/>
    </row>
    <row r="22" spans="1:6">
      <c r="A22" s="115"/>
      <c r="B22" s="121"/>
      <c r="F22" s="149"/>
    </row>
    <row r="24" spans="1:6">
      <c r="A24" s="148"/>
      <c r="B24" s="157"/>
      <c r="F24" s="149"/>
    </row>
    <row r="25" spans="1:6">
      <c r="A25" s="148"/>
      <c r="B25" s="157"/>
    </row>
    <row r="26" spans="1:6">
      <c r="A26" s="148"/>
      <c r="B26" s="120"/>
    </row>
    <row r="27" spans="1:6">
      <c r="A27" s="148"/>
    </row>
    <row r="28" spans="1:6">
      <c r="A28" s="148"/>
    </row>
    <row r="33" spans="1:6" ht="13.5" thickBot="1">
      <c r="F33" s="127">
        <f>SUM(F19:F32)</f>
        <v>150</v>
      </c>
    </row>
    <row r="34" spans="1:6" ht="13.5" thickTop="1"/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Hundred Fifty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1-000000000000}">
  <sheetPr codeName="Sheet146">
    <pageSetUpPr fitToPage="1"/>
  </sheetPr>
  <dimension ref="A1:H52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6.140625" style="111" customWidth="1"/>
    <col min="3" max="3" width="0.85546875" style="111" customWidth="1"/>
    <col min="4" max="4" width="22.42578125" style="111" customWidth="1"/>
    <col min="5" max="5" width="1.140625" style="111" customWidth="1"/>
    <col min="6" max="6" width="13.140625" style="111" customWidth="1"/>
    <col min="7" max="7" width="8.28515625" style="111" customWidth="1"/>
    <col min="8" max="8" width="13.710937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483" t="s">
        <v>6883</v>
      </c>
    </row>
    <row r="10" spans="1:8">
      <c r="A10" s="111" t="s">
        <v>4008</v>
      </c>
      <c r="F10" s="112" t="s">
        <v>1180</v>
      </c>
      <c r="G10" s="484" t="s">
        <v>6861</v>
      </c>
    </row>
    <row r="11" spans="1:8">
      <c r="A11" s="111" t="s">
        <v>1398</v>
      </c>
      <c r="F11" s="112" t="s">
        <v>1181</v>
      </c>
      <c r="G11" s="484" t="s">
        <v>1094</v>
      </c>
    </row>
    <row r="12" spans="1:8">
      <c r="A12" s="111" t="s">
        <v>1397</v>
      </c>
      <c r="F12" s="112" t="s">
        <v>1182</v>
      </c>
      <c r="G12" s="484" t="s">
        <v>6884</v>
      </c>
    </row>
    <row r="13" spans="1:8">
      <c r="A13" s="111" t="s">
        <v>1323</v>
      </c>
      <c r="G13" s="483" t="s">
        <v>6182</v>
      </c>
    </row>
    <row r="14" spans="1:8">
      <c r="A14" s="111" t="s">
        <v>1399</v>
      </c>
      <c r="B14" s="111" t="s">
        <v>1400</v>
      </c>
    </row>
    <row r="16" spans="1:8" s="15" customFormat="1" ht="20.100000000000001" customHeight="1">
      <c r="A16" s="18" t="s">
        <v>1193</v>
      </c>
      <c r="B16" s="129" t="s">
        <v>1098</v>
      </c>
      <c r="C16" s="477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6885</v>
      </c>
      <c r="E18" s="2"/>
    </row>
    <row r="19" spans="1:8">
      <c r="A19" s="120"/>
      <c r="D19" s="2"/>
      <c r="E19" s="2"/>
    </row>
    <row r="20" spans="1:8">
      <c r="A20" s="485" t="s">
        <v>6886</v>
      </c>
      <c r="B20" s="338" t="s">
        <v>6887</v>
      </c>
      <c r="C20" s="338"/>
      <c r="D20" s="486" t="s">
        <v>6888</v>
      </c>
      <c r="E20" s="120"/>
      <c r="H20" s="111">
        <f>15*100</f>
        <v>1500</v>
      </c>
    </row>
    <row r="22" spans="1:8">
      <c r="D22" s="2"/>
      <c r="E22" s="2"/>
    </row>
    <row r="24" spans="1:8">
      <c r="A24" s="116"/>
      <c r="B24" s="121"/>
      <c r="C24" s="121"/>
    </row>
    <row r="25" spans="1:8">
      <c r="A25" s="161"/>
      <c r="B25" s="155"/>
      <c r="C25" s="155"/>
      <c r="H25" s="149"/>
    </row>
    <row r="26" spans="1:8">
      <c r="A26" s="148"/>
      <c r="B26" s="120"/>
      <c r="C26" s="120"/>
      <c r="D26" s="120"/>
      <c r="E26" s="120"/>
    </row>
    <row r="27" spans="1:8">
      <c r="A27" s="148"/>
    </row>
    <row r="28" spans="1:8">
      <c r="A28" s="148"/>
    </row>
    <row r="33" spans="1:8" ht="13.5" thickBot="1">
      <c r="H33" s="127">
        <f>SUM(H20:H32)</f>
        <v>1500</v>
      </c>
    </row>
    <row r="34" spans="1:8" ht="13.5" thickTop="1"/>
    <row r="35" spans="1:8" ht="20.100000000000001" customHeight="1">
      <c r="A35" s="118" t="s">
        <v>204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One Thousand Five Hundred and NO/100 -----------</v>
      </c>
      <c r="C35" s="202"/>
      <c r="D35" s="119"/>
      <c r="E35" s="119"/>
      <c r="F35" s="119"/>
      <c r="G35" s="119"/>
      <c r="H35" s="119"/>
    </row>
    <row r="36" spans="1:8">
      <c r="A36" s="120" t="s">
        <v>11</v>
      </c>
    </row>
    <row r="37" spans="1:8" ht="25.5">
      <c r="A37" s="111" t="s">
        <v>10</v>
      </c>
      <c r="F37" s="265" t="s">
        <v>2894</v>
      </c>
      <c r="G37" s="266"/>
      <c r="H37" s="267"/>
    </row>
    <row r="39" spans="1:8">
      <c r="A39" s="126"/>
    </row>
    <row r="40" spans="1:8">
      <c r="A40" s="111" t="s">
        <v>52</v>
      </c>
      <c r="D40" s="121"/>
      <c r="E40" s="121"/>
    </row>
    <row r="41" spans="1:8">
      <c r="A41" s="122"/>
      <c r="B41" s="122"/>
      <c r="C41" s="433"/>
    </row>
    <row r="43" spans="1:8">
      <c r="A43" s="123" t="s">
        <v>8</v>
      </c>
      <c r="D43" s="123" t="s">
        <v>8</v>
      </c>
      <c r="F43" s="123" t="s">
        <v>7</v>
      </c>
      <c r="H43" s="124"/>
    </row>
    <row r="47" spans="1:8">
      <c r="A47" s="122" t="s">
        <v>51</v>
      </c>
      <c r="B47" s="122"/>
      <c r="C47" s="433"/>
      <c r="D47" s="122" t="s">
        <v>51</v>
      </c>
      <c r="F47" s="122"/>
      <c r="G47" s="122"/>
      <c r="H47" s="122"/>
    </row>
    <row r="48" spans="1:8" s="126" customFormat="1" ht="17.100000000000001" customHeight="1">
      <c r="A48" s="151" t="s">
        <v>2948</v>
      </c>
      <c r="B48" s="125"/>
      <c r="C48" s="125"/>
      <c r="D48" s="151" t="s">
        <v>103</v>
      </c>
      <c r="F48" s="126" t="s">
        <v>3</v>
      </c>
    </row>
    <row r="49" spans="1:6">
      <c r="F49" s="111" t="s">
        <v>2</v>
      </c>
    </row>
    <row r="50" spans="1:6">
      <c r="A50" s="151"/>
    </row>
    <row r="51" spans="1:6">
      <c r="F51" s="2" t="s">
        <v>1</v>
      </c>
    </row>
    <row r="52" spans="1:6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5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Sheet338">
    <pageSetUpPr fitToPage="1"/>
  </sheetPr>
  <dimension ref="A1:I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4" style="1" customWidth="1"/>
    <col min="3" max="3" width="0.7109375" style="1" customWidth="1"/>
    <col min="4" max="4" width="23" style="1" customWidth="1"/>
    <col min="5" max="5" width="1.14062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11" t="s">
        <v>3980</v>
      </c>
      <c r="H9" s="111"/>
    </row>
    <row r="10" spans="1:8">
      <c r="A10" s="111" t="s">
        <v>3024</v>
      </c>
      <c r="B10" s="111"/>
      <c r="C10" s="111"/>
      <c r="D10" s="111"/>
      <c r="E10" s="111"/>
      <c r="F10" s="112" t="s">
        <v>1162</v>
      </c>
      <c r="G10" s="123" t="s">
        <v>3971</v>
      </c>
      <c r="H10" s="111"/>
    </row>
    <row r="11" spans="1:8">
      <c r="A11" s="111" t="s">
        <v>3025</v>
      </c>
      <c r="B11" s="111"/>
      <c r="C11" s="111"/>
      <c r="D11" s="111"/>
      <c r="E11" s="111"/>
      <c r="F11" s="112" t="s">
        <v>1163</v>
      </c>
      <c r="G11" s="112" t="s">
        <v>1094</v>
      </c>
      <c r="H11" s="111"/>
    </row>
    <row r="12" spans="1:8">
      <c r="A12" s="111" t="s">
        <v>3026</v>
      </c>
      <c r="B12" s="111"/>
      <c r="C12" s="111"/>
      <c r="D12" s="111"/>
      <c r="E12" s="111"/>
      <c r="F12" s="112" t="s">
        <v>1135</v>
      </c>
      <c r="G12" s="120" t="s">
        <v>3981</v>
      </c>
      <c r="H12" s="111"/>
    </row>
    <row r="13" spans="1:8">
      <c r="A13" s="111" t="s">
        <v>3027</v>
      </c>
      <c r="B13" s="111"/>
      <c r="C13" s="111"/>
      <c r="D13" s="111"/>
      <c r="E13" s="111"/>
      <c r="F13" s="111"/>
      <c r="G13" s="111"/>
      <c r="H13" s="111"/>
    </row>
    <row r="14" spans="1:8">
      <c r="A14" s="111" t="s">
        <v>3028</v>
      </c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</row>
    <row r="18" spans="1:9">
      <c r="A18" s="111"/>
      <c r="B18" s="111"/>
      <c r="C18" s="111"/>
      <c r="D18" s="2" t="s">
        <v>3479</v>
      </c>
      <c r="E18" s="2"/>
      <c r="F18" s="111"/>
      <c r="G18" s="111"/>
      <c r="H18" s="111"/>
    </row>
    <row r="19" spans="1:9">
      <c r="A19" s="112"/>
      <c r="B19" s="116"/>
      <c r="C19" s="116"/>
      <c r="D19" s="2"/>
      <c r="E19" s="2"/>
      <c r="F19" s="111"/>
      <c r="G19" s="111"/>
      <c r="H19" s="111"/>
      <c r="I19" s="111"/>
    </row>
    <row r="20" spans="1:9">
      <c r="A20" s="116" t="s">
        <v>3970</v>
      </c>
      <c r="B20" s="116" t="s">
        <v>3982</v>
      </c>
      <c r="C20" s="116"/>
      <c r="D20" s="111" t="s">
        <v>3245</v>
      </c>
      <c r="E20" s="111"/>
      <c r="F20" s="111"/>
      <c r="G20" s="111"/>
      <c r="H20" s="111">
        <v>22000</v>
      </c>
      <c r="I20" s="111"/>
    </row>
    <row r="21" spans="1:9">
      <c r="A21" s="116"/>
      <c r="B21" s="120"/>
      <c r="C21" s="120"/>
      <c r="D21" s="111" t="s">
        <v>3796</v>
      </c>
      <c r="E21" s="111"/>
      <c r="I21" s="111"/>
    </row>
    <row r="22" spans="1:9">
      <c r="A22" s="116"/>
      <c r="B22" s="120"/>
      <c r="C22" s="120"/>
      <c r="D22" s="111" t="s">
        <v>3983</v>
      </c>
      <c r="E22" s="111"/>
      <c r="F22" s="111"/>
      <c r="G22" s="111"/>
      <c r="H22" s="111"/>
      <c r="I22" s="111"/>
    </row>
    <row r="23" spans="1:9">
      <c r="A23" s="116"/>
      <c r="B23" s="120"/>
      <c r="C23" s="120"/>
      <c r="D23" s="111" t="s">
        <v>3246</v>
      </c>
      <c r="E23" s="111"/>
      <c r="F23" s="111"/>
      <c r="G23" s="111"/>
      <c r="H23" s="111">
        <f>SUM(H20)*6%</f>
        <v>1320</v>
      </c>
    </row>
    <row r="24" spans="1:9">
      <c r="A24" s="116"/>
      <c r="B24" s="120"/>
      <c r="C24" s="120"/>
      <c r="I24" s="111"/>
    </row>
    <row r="25" spans="1:9">
      <c r="A25" s="116"/>
      <c r="B25" s="120"/>
      <c r="C25" s="120"/>
      <c r="D25" s="167"/>
      <c r="E25" s="167"/>
      <c r="F25" s="111"/>
      <c r="G25" s="111"/>
      <c r="H25" s="111"/>
      <c r="I25" s="111"/>
    </row>
    <row r="26" spans="1:9">
      <c r="A26" s="116"/>
      <c r="B26" s="120"/>
      <c r="C26" s="120"/>
      <c r="D26" s="111"/>
      <c r="E26" s="111"/>
      <c r="F26" s="111"/>
      <c r="G26" s="111"/>
      <c r="H26" s="111"/>
      <c r="I26" s="111"/>
    </row>
    <row r="27" spans="1:9">
      <c r="A27" s="116"/>
      <c r="B27" s="120"/>
      <c r="C27" s="120"/>
      <c r="I27" s="111"/>
    </row>
    <row r="28" spans="1:9">
      <c r="A28" s="116"/>
      <c r="B28" s="120"/>
      <c r="C28" s="120"/>
      <c r="I28" s="111"/>
    </row>
    <row r="29" spans="1:9">
      <c r="A29" s="116"/>
      <c r="B29" s="120"/>
      <c r="C29" s="120"/>
      <c r="D29" s="111"/>
      <c r="E29" s="111"/>
      <c r="F29" s="111"/>
      <c r="G29" s="111"/>
      <c r="H29" s="111"/>
      <c r="I29" s="111"/>
    </row>
    <row r="30" spans="1:9">
      <c r="A30" s="116"/>
      <c r="B30" s="120"/>
      <c r="C30" s="120"/>
      <c r="D30" s="111"/>
      <c r="E30" s="111"/>
      <c r="F30" s="111"/>
      <c r="G30" s="111"/>
      <c r="H30" s="111"/>
      <c r="I30" s="111"/>
    </row>
    <row r="31" spans="1:9">
      <c r="A31" s="116"/>
      <c r="B31" s="120"/>
      <c r="C31" s="120"/>
      <c r="D31" s="111"/>
      <c r="E31" s="111"/>
      <c r="F31" s="111"/>
      <c r="G31" s="111"/>
      <c r="H31" s="111"/>
      <c r="I31" s="111"/>
    </row>
    <row r="32" spans="1:9">
      <c r="A32" s="111"/>
      <c r="B32" s="111"/>
      <c r="C32" s="111"/>
      <c r="D32" s="111"/>
      <c r="E32" s="111"/>
      <c r="F32" s="111"/>
      <c r="G32" s="111"/>
      <c r="I32" s="111"/>
    </row>
    <row r="33" spans="1:9" ht="13.5" thickBot="1">
      <c r="A33" s="111"/>
      <c r="B33" s="111"/>
      <c r="C33" s="111"/>
      <c r="D33" s="111"/>
      <c r="E33" s="111"/>
      <c r="F33" s="111"/>
      <c r="G33" s="111"/>
      <c r="H33" s="117">
        <f>SUM(H20:H32)</f>
        <v>23320</v>
      </c>
      <c r="I33" s="111"/>
    </row>
    <row r="34" spans="1:9" ht="13.5" thickTop="1">
      <c r="A34" s="111"/>
      <c r="B34" s="111"/>
      <c r="C34" s="111"/>
      <c r="D34" s="111"/>
      <c r="E34" s="111"/>
      <c r="F34" s="111"/>
      <c r="G34" s="111"/>
      <c r="H34" s="111"/>
      <c r="I34" s="111"/>
    </row>
    <row r="35" spans="1:9" ht="20.100000000000001" customHeight="1">
      <c r="A35" s="118" t="s">
        <v>1133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Twenty-Three Thousand Three Hundred Twenty and NO/100 -----------</v>
      </c>
      <c r="C35" s="202"/>
      <c r="D35" s="119"/>
      <c r="E35" s="119"/>
      <c r="F35" s="119"/>
      <c r="G35" s="119"/>
      <c r="H35" s="119"/>
      <c r="I35" s="111"/>
    </row>
    <row r="36" spans="1:9">
      <c r="A36" s="120" t="s">
        <v>11</v>
      </c>
      <c r="B36" s="111"/>
      <c r="C36" s="111"/>
      <c r="D36" s="111"/>
      <c r="E36" s="111"/>
      <c r="F36" s="111"/>
      <c r="G36" s="111"/>
      <c r="H36" s="111"/>
    </row>
    <row r="37" spans="1:9" ht="25.5">
      <c r="A37" s="126" t="s">
        <v>10</v>
      </c>
      <c r="B37" s="111"/>
      <c r="C37" s="111"/>
      <c r="D37" s="111"/>
      <c r="E37" s="111"/>
      <c r="F37" s="265" t="s">
        <v>2894</v>
      </c>
      <c r="G37" s="266"/>
      <c r="H37" s="267"/>
    </row>
    <row r="38" spans="1:9">
      <c r="A38" s="111"/>
      <c r="B38" s="111"/>
      <c r="C38" s="111"/>
      <c r="D38" s="111"/>
      <c r="E38" s="111"/>
      <c r="F38" s="111"/>
      <c r="G38" s="111"/>
      <c r="H38" s="111"/>
    </row>
    <row r="39" spans="1:9">
      <c r="A39" s="126"/>
      <c r="B39" s="111"/>
      <c r="C39" s="111"/>
      <c r="D39" s="111"/>
      <c r="E39" s="111"/>
    </row>
    <row r="40" spans="1:9">
      <c r="A40" s="111"/>
      <c r="B40" s="111"/>
      <c r="C40" s="111"/>
      <c r="D40" s="121"/>
      <c r="E40" s="121"/>
      <c r="F40" s="111"/>
      <c r="G40" s="111"/>
      <c r="H40" s="111"/>
    </row>
    <row r="41" spans="1:9">
      <c r="A41" s="122"/>
      <c r="B41" s="122"/>
      <c r="C41" s="111"/>
      <c r="D41" s="111"/>
      <c r="E41" s="111"/>
      <c r="F41" s="111"/>
      <c r="G41" s="111"/>
      <c r="H41" s="111"/>
    </row>
    <row r="42" spans="1:9">
      <c r="B42" s="111"/>
      <c r="C42" s="111"/>
      <c r="D42" s="111"/>
      <c r="E42" s="111"/>
      <c r="F42" s="111"/>
      <c r="G42" s="111"/>
      <c r="H42" s="111"/>
    </row>
    <row r="43" spans="1:9">
      <c r="A43" s="123" t="s">
        <v>8</v>
      </c>
      <c r="D43" s="123" t="s">
        <v>8</v>
      </c>
      <c r="E43" s="111"/>
      <c r="F43" s="123" t="s">
        <v>7</v>
      </c>
      <c r="G43" s="111"/>
      <c r="H43" s="124"/>
    </row>
    <row r="44" spans="1:9">
      <c r="A44" s="111"/>
      <c r="B44" s="111"/>
      <c r="C44" s="111"/>
      <c r="D44" s="111"/>
      <c r="E44" s="111"/>
      <c r="F44" s="111"/>
      <c r="G44" s="111"/>
      <c r="H44" s="111"/>
    </row>
    <row r="45" spans="1:9">
      <c r="A45" s="111"/>
      <c r="B45" s="111"/>
      <c r="C45" s="111"/>
      <c r="D45" s="111"/>
      <c r="E45" s="111"/>
      <c r="F45" s="111"/>
      <c r="G45" s="111"/>
      <c r="H45" s="111"/>
    </row>
    <row r="46" spans="1:9">
      <c r="A46" s="111"/>
      <c r="B46" s="111"/>
      <c r="C46" s="111"/>
      <c r="D46" s="111"/>
      <c r="E46" s="111"/>
      <c r="F46" s="111"/>
      <c r="G46" s="111"/>
      <c r="H46" s="111"/>
    </row>
    <row r="47" spans="1:9">
      <c r="A47" s="122"/>
      <c r="B47" s="122"/>
      <c r="C47" s="111"/>
      <c r="D47" s="122"/>
      <c r="E47" s="111"/>
      <c r="F47" s="122"/>
      <c r="G47" s="122"/>
      <c r="H47" s="122"/>
    </row>
    <row r="48" spans="1:9" s="3" customFormat="1" ht="17.100000000000001" customHeight="1">
      <c r="A48" s="151" t="s">
        <v>2948</v>
      </c>
      <c r="B48" s="125"/>
      <c r="C48" s="125"/>
      <c r="D48" s="151" t="s">
        <v>103</v>
      </c>
      <c r="E48" s="126"/>
      <c r="F48" s="126" t="s">
        <v>3</v>
      </c>
      <c r="G48" s="126"/>
      <c r="H48" s="126"/>
    </row>
    <row r="49" spans="1:8">
      <c r="A49" s="111"/>
      <c r="B49" s="111"/>
      <c r="C49" s="111"/>
      <c r="D49" s="111"/>
      <c r="E49" s="111"/>
      <c r="F49" s="111" t="s">
        <v>2</v>
      </c>
      <c r="G49" s="111"/>
      <c r="H49" s="111"/>
    </row>
    <row r="50" spans="1:8">
      <c r="A50" s="151"/>
      <c r="B50" s="111"/>
      <c r="C50" s="111"/>
      <c r="D50" s="111"/>
      <c r="E50" s="111"/>
      <c r="F50" s="111"/>
      <c r="G50" s="111"/>
      <c r="H50" s="111"/>
    </row>
    <row r="51" spans="1:8">
      <c r="A51" s="111"/>
      <c r="B51" s="111"/>
      <c r="C51" s="111"/>
      <c r="D51" s="111"/>
      <c r="E51" s="111"/>
      <c r="F51" s="2" t="s">
        <v>1</v>
      </c>
      <c r="G51" s="111"/>
      <c r="H51" s="111"/>
    </row>
    <row r="52" spans="1:8">
      <c r="A52" s="111"/>
      <c r="B52" s="111"/>
      <c r="C52" s="111"/>
      <c r="D52" s="111"/>
      <c r="E52" s="111"/>
      <c r="F52" s="2" t="s">
        <v>0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98"/>
  <dimension ref="A1:Z125"/>
  <sheetViews>
    <sheetView view="pageBreakPreview" zoomScale="115" zoomScaleNormal="100" zoomScaleSheetLayoutView="115" workbookViewId="0">
      <selection activeCell="G9" sqref="G9:G13"/>
    </sheetView>
  </sheetViews>
  <sheetFormatPr defaultRowHeight="12.75"/>
  <cols>
    <col min="1" max="1" width="15.5703125" style="488" customWidth="1"/>
    <col min="2" max="2" width="12.85546875" style="488" customWidth="1"/>
    <col min="3" max="3" width="0.7109375" style="488" customWidth="1"/>
    <col min="4" max="4" width="20" style="488" customWidth="1"/>
    <col min="5" max="5" width="1" style="488" customWidth="1"/>
    <col min="6" max="6" width="14" style="488" customWidth="1"/>
    <col min="7" max="7" width="9.28515625" style="488" customWidth="1"/>
    <col min="8" max="8" width="13.28515625" style="488" customWidth="1"/>
    <col min="9" max="16" width="9.140625" style="488"/>
    <col min="17" max="17" width="18.140625" style="488" customWidth="1"/>
    <col min="18" max="16384" width="9.140625" style="488"/>
  </cols>
  <sheetData>
    <row r="1" spans="1:26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26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26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26">
      <c r="A4" s="532" t="s">
        <v>1684</v>
      </c>
      <c r="B4" s="532"/>
      <c r="C4" s="532"/>
      <c r="D4" s="532"/>
      <c r="E4" s="532"/>
      <c r="F4" s="532"/>
      <c r="G4" s="532"/>
      <c r="H4" s="532"/>
    </row>
    <row r="7" spans="1:26">
      <c r="O7" s="492"/>
      <c r="P7" s="491" t="s">
        <v>3230</v>
      </c>
      <c r="V7" s="491" t="s">
        <v>6188</v>
      </c>
      <c r="W7" s="491"/>
    </row>
    <row r="8" spans="1:26">
      <c r="A8" s="488" t="s">
        <v>24</v>
      </c>
      <c r="F8" s="87" t="s">
        <v>23</v>
      </c>
      <c r="O8" s="492"/>
      <c r="V8" s="410"/>
      <c r="W8" s="410"/>
    </row>
    <row r="9" spans="1:26">
      <c r="F9" s="489" t="s">
        <v>1716</v>
      </c>
      <c r="G9" s="489" t="s">
        <v>7145</v>
      </c>
      <c r="M9" s="492" t="s">
        <v>6767</v>
      </c>
      <c r="N9" s="492" t="s">
        <v>6768</v>
      </c>
      <c r="O9" s="492"/>
      <c r="P9" s="488" t="s">
        <v>4857</v>
      </c>
      <c r="T9" s="488">
        <v>900</v>
      </c>
      <c r="V9" s="488" t="s">
        <v>7132</v>
      </c>
      <c r="Z9" s="488">
        <v>500</v>
      </c>
    </row>
    <row r="10" spans="1:26">
      <c r="A10" s="488" t="s">
        <v>3753</v>
      </c>
      <c r="F10" s="489" t="s">
        <v>1162</v>
      </c>
      <c r="G10" s="489" t="s">
        <v>7134</v>
      </c>
      <c r="O10" s="492"/>
      <c r="P10" s="488" t="s">
        <v>6769</v>
      </c>
      <c r="V10" s="488" t="s">
        <v>7133</v>
      </c>
    </row>
    <row r="11" spans="1:26">
      <c r="A11" s="488" t="s">
        <v>3754</v>
      </c>
      <c r="F11" s="489" t="s">
        <v>1163</v>
      </c>
      <c r="G11" s="489" t="s">
        <v>1094</v>
      </c>
      <c r="M11" s="492"/>
      <c r="N11" s="492"/>
      <c r="O11" s="492"/>
      <c r="P11" s="488" t="s">
        <v>6416</v>
      </c>
      <c r="T11" s="488">
        <f>T9*6%</f>
        <v>54</v>
      </c>
      <c r="V11" s="488" t="s">
        <v>5175</v>
      </c>
      <c r="Z11" s="488">
        <f>Z9*6%</f>
        <v>30</v>
      </c>
    </row>
    <row r="12" spans="1:26">
      <c r="A12" s="488" t="s">
        <v>3755</v>
      </c>
      <c r="F12" s="489" t="s">
        <v>1096</v>
      </c>
      <c r="G12" s="483" t="s">
        <v>7146</v>
      </c>
    </row>
    <row r="13" spans="1:26">
      <c r="A13" s="488" t="s">
        <v>1308</v>
      </c>
      <c r="G13" s="483" t="s">
        <v>6182</v>
      </c>
    </row>
    <row r="14" spans="1:26">
      <c r="A14" s="488" t="s">
        <v>3756</v>
      </c>
      <c r="M14" s="492"/>
      <c r="N14" s="306"/>
    </row>
    <row r="15" spans="1:26">
      <c r="A15" s="488" t="s">
        <v>3757</v>
      </c>
      <c r="M15" s="492" t="s">
        <v>3433</v>
      </c>
      <c r="N15" s="306" t="s">
        <v>3511</v>
      </c>
      <c r="O15" s="488" t="s">
        <v>3512</v>
      </c>
      <c r="R15" s="488">
        <v>900</v>
      </c>
    </row>
    <row r="16" spans="1:26" s="95" customFormat="1" ht="18.75" customHeight="1">
      <c r="A16" s="90" t="s">
        <v>1113</v>
      </c>
      <c r="B16" s="91" t="s">
        <v>1114</v>
      </c>
      <c r="C16" s="91"/>
      <c r="D16" s="92" t="s">
        <v>14</v>
      </c>
      <c r="E16" s="92"/>
      <c r="F16" s="90"/>
      <c r="G16" s="93"/>
      <c r="H16" s="94" t="s">
        <v>13</v>
      </c>
      <c r="M16" s="492"/>
      <c r="N16" s="306"/>
      <c r="O16" s="488"/>
      <c r="P16" s="488"/>
      <c r="Q16" s="488"/>
      <c r="R16" s="488"/>
      <c r="S16" s="488"/>
    </row>
    <row r="17" spans="1:19">
      <c r="M17" s="492" t="s">
        <v>3433</v>
      </c>
      <c r="N17" s="306" t="s">
        <v>3513</v>
      </c>
      <c r="O17" s="488" t="s">
        <v>3514</v>
      </c>
      <c r="R17" s="488">
        <v>900</v>
      </c>
    </row>
    <row r="18" spans="1:19" ht="12.75" customHeight="1">
      <c r="A18" s="492"/>
      <c r="B18" s="492"/>
      <c r="C18" s="492"/>
      <c r="D18" s="491" t="s">
        <v>4157</v>
      </c>
      <c r="E18" s="491"/>
      <c r="M18" s="492"/>
      <c r="N18" s="305"/>
    </row>
    <row r="19" spans="1:19">
      <c r="D19" s="410"/>
      <c r="E19" s="410"/>
      <c r="M19" s="140"/>
      <c r="N19" s="305"/>
    </row>
    <row r="20" spans="1:19">
      <c r="A20" s="492" t="s">
        <v>7129</v>
      </c>
      <c r="B20" s="492" t="s">
        <v>7147</v>
      </c>
      <c r="C20" s="492"/>
      <c r="D20" s="488" t="s">
        <v>7132</v>
      </c>
      <c r="H20" s="488">
        <v>480</v>
      </c>
      <c r="O20" s="491"/>
    </row>
    <row r="21" spans="1:19">
      <c r="D21" s="488" t="s">
        <v>7148</v>
      </c>
    </row>
    <row r="22" spans="1:19">
      <c r="D22" s="488" t="s">
        <v>5175</v>
      </c>
      <c r="H22" s="488">
        <f>H20*6%</f>
        <v>28.799999999999997</v>
      </c>
      <c r="M22" s="492"/>
      <c r="N22" s="492"/>
    </row>
    <row r="24" spans="1:19">
      <c r="A24" s="492"/>
      <c r="B24" s="492"/>
      <c r="M24" s="492"/>
      <c r="N24" s="141"/>
    </row>
    <row r="25" spans="1:19">
      <c r="A25" s="492"/>
      <c r="B25" s="492"/>
      <c r="C25" s="492"/>
    </row>
    <row r="26" spans="1:19">
      <c r="A26" s="492"/>
      <c r="B26" s="492"/>
      <c r="C26" s="492"/>
    </row>
    <row r="27" spans="1:19">
      <c r="A27" s="492"/>
      <c r="B27" s="492"/>
      <c r="C27" s="492"/>
    </row>
    <row r="28" spans="1:19">
      <c r="C28" s="492"/>
      <c r="D28" s="491"/>
    </row>
    <row r="29" spans="1:19">
      <c r="C29" s="492"/>
      <c r="O29" s="491" t="s">
        <v>3096</v>
      </c>
    </row>
    <row r="30" spans="1:19">
      <c r="A30" s="492"/>
      <c r="B30" s="492"/>
      <c r="C30" s="492"/>
      <c r="O30" s="491"/>
    </row>
    <row r="31" spans="1:19">
      <c r="C31" s="492"/>
      <c r="O31" s="488" t="s">
        <v>6413</v>
      </c>
      <c r="S31" s="488">
        <v>480</v>
      </c>
    </row>
    <row r="32" spans="1:19">
      <c r="A32" s="492"/>
      <c r="B32" s="492"/>
      <c r="C32" s="492"/>
      <c r="O32" s="488" t="s">
        <v>6414</v>
      </c>
    </row>
    <row r="33" spans="1:19">
      <c r="O33" s="488" t="s">
        <v>6416</v>
      </c>
      <c r="S33" s="488">
        <f>SUM(S31+S32)*6%</f>
        <v>28.799999999999997</v>
      </c>
    </row>
    <row r="35" spans="1:19">
      <c r="O35" s="488" t="s">
        <v>4857</v>
      </c>
      <c r="S35" s="488">
        <v>900</v>
      </c>
    </row>
    <row r="36" spans="1:19" ht="13.5" thickBot="1">
      <c r="H36" s="164">
        <f>SUM(H18:H35)</f>
        <v>508.8</v>
      </c>
      <c r="O36" s="488" t="s">
        <v>6415</v>
      </c>
    </row>
    <row r="37" spans="1:19" ht="13.5" thickTop="1">
      <c r="O37" s="488" t="s">
        <v>6416</v>
      </c>
      <c r="S37" s="488">
        <f>S35*6%</f>
        <v>54</v>
      </c>
    </row>
    <row r="38" spans="1:19" ht="17.25" customHeight="1">
      <c r="A38" s="138" t="s">
        <v>1133</v>
      </c>
      <c r="B38" s="204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Five Hundred Eight and 80/100 -----------</v>
      </c>
      <c r="C38" s="204"/>
      <c r="D38" s="139"/>
      <c r="E38" s="139"/>
      <c r="F38" s="139"/>
      <c r="G38" s="139"/>
      <c r="H38" s="139"/>
      <c r="O38" s="488" t="s">
        <v>4492</v>
      </c>
      <c r="S38" s="488">
        <v>450</v>
      </c>
    </row>
    <row r="39" spans="1:19">
      <c r="A39" s="140"/>
      <c r="O39" s="488" t="s">
        <v>7023</v>
      </c>
    </row>
    <row r="40" spans="1:19" ht="24" customHeight="1">
      <c r="A40" s="493" t="s">
        <v>10</v>
      </c>
      <c r="F40" s="283" t="s">
        <v>2894</v>
      </c>
      <c r="G40" s="284"/>
      <c r="H40" s="285"/>
      <c r="O40" s="488" t="s">
        <v>6416</v>
      </c>
      <c r="S40" s="488">
        <f>SUM(S38+S39)*6%</f>
        <v>27</v>
      </c>
    </row>
    <row r="41" spans="1:19" ht="19.5" customHeight="1">
      <c r="A41" s="493"/>
    </row>
    <row r="42" spans="1:19">
      <c r="A42" s="493"/>
      <c r="F42" s="291"/>
      <c r="G42" s="291"/>
      <c r="H42" s="291"/>
      <c r="O42" s="488" t="s">
        <v>4614</v>
      </c>
      <c r="S42" s="488">
        <v>450</v>
      </c>
    </row>
    <row r="43" spans="1:19">
      <c r="A43" s="493"/>
      <c r="D43" s="141"/>
      <c r="E43" s="141"/>
      <c r="F43" s="286"/>
      <c r="G43" s="287"/>
      <c r="H43" s="287"/>
      <c r="O43" s="488" t="s">
        <v>6416</v>
      </c>
      <c r="S43" s="488">
        <f>S42*6%</f>
        <v>27</v>
      </c>
    </row>
    <row r="44" spans="1:19">
      <c r="A44" s="142"/>
      <c r="B44" s="142"/>
    </row>
    <row r="45" spans="1:19" ht="9.75" customHeight="1">
      <c r="A45" s="493"/>
      <c r="O45" s="491"/>
    </row>
    <row r="46" spans="1:19">
      <c r="A46" s="493" t="s">
        <v>8</v>
      </c>
      <c r="D46" s="493" t="s">
        <v>8</v>
      </c>
      <c r="F46" s="493" t="s">
        <v>7</v>
      </c>
      <c r="H46" s="144"/>
      <c r="M46" s="492" t="s">
        <v>4609</v>
      </c>
      <c r="N46" s="492" t="s">
        <v>4610</v>
      </c>
      <c r="O46" s="488" t="s">
        <v>4611</v>
      </c>
      <c r="R46" s="488">
        <v>450</v>
      </c>
    </row>
    <row r="47" spans="1:19">
      <c r="A47" s="493"/>
      <c r="D47" s="493"/>
      <c r="O47" s="488" t="s">
        <v>1814</v>
      </c>
      <c r="R47" s="488">
        <f>R46*6%</f>
        <v>27</v>
      </c>
    </row>
    <row r="48" spans="1:19">
      <c r="A48" s="493"/>
      <c r="D48" s="493"/>
      <c r="M48" s="492"/>
      <c r="N48" s="141"/>
    </row>
    <row r="49" spans="1:24">
      <c r="A49" s="493"/>
      <c r="D49" s="493"/>
      <c r="M49" s="492" t="s">
        <v>4612</v>
      </c>
      <c r="N49" s="492" t="s">
        <v>4613</v>
      </c>
      <c r="O49" s="488" t="s">
        <v>4614</v>
      </c>
      <c r="R49" s="488">
        <v>450</v>
      </c>
    </row>
    <row r="50" spans="1:24">
      <c r="A50" s="248"/>
      <c r="B50" s="142"/>
      <c r="D50" s="248"/>
      <c r="F50" s="142"/>
      <c r="G50" s="142"/>
      <c r="H50" s="142"/>
      <c r="M50" s="492"/>
      <c r="N50" s="492"/>
      <c r="O50" s="488" t="s">
        <v>1814</v>
      </c>
      <c r="R50" s="488">
        <f>R49*6%</f>
        <v>27</v>
      </c>
    </row>
    <row r="51" spans="1:24">
      <c r="A51" s="493" t="s">
        <v>2948</v>
      </c>
      <c r="B51" s="146"/>
      <c r="C51" s="146"/>
      <c r="D51" s="493" t="s">
        <v>103</v>
      </c>
      <c r="E51" s="490"/>
      <c r="F51" s="490" t="s">
        <v>3</v>
      </c>
      <c r="G51" s="490"/>
      <c r="H51" s="490"/>
    </row>
    <row r="52" spans="1:24">
      <c r="A52" s="493"/>
      <c r="D52" s="493"/>
      <c r="F52" s="488" t="s">
        <v>2</v>
      </c>
      <c r="M52" s="492" t="s">
        <v>4612</v>
      </c>
      <c r="N52" s="492" t="s">
        <v>4617</v>
      </c>
      <c r="O52" s="488" t="s">
        <v>4615</v>
      </c>
      <c r="R52" s="488">
        <v>450</v>
      </c>
    </row>
    <row r="53" spans="1:24">
      <c r="A53" s="493"/>
      <c r="O53" s="488" t="s">
        <v>4616</v>
      </c>
    </row>
    <row r="54" spans="1:24">
      <c r="F54" s="491" t="s">
        <v>1</v>
      </c>
      <c r="O54" s="488" t="s">
        <v>1814</v>
      </c>
      <c r="R54" s="488">
        <f>R52*6%</f>
        <v>27</v>
      </c>
    </row>
    <row r="55" spans="1:24">
      <c r="F55" s="491" t="s">
        <v>0</v>
      </c>
    </row>
    <row r="58" spans="1:24" s="490" customFormat="1" ht="17.100000000000001" customHeight="1">
      <c r="A58" s="488"/>
      <c r="B58" s="488"/>
      <c r="C58" s="488"/>
      <c r="D58" s="488"/>
      <c r="E58" s="488"/>
      <c r="F58" s="488"/>
      <c r="G58" s="488"/>
      <c r="H58" s="488"/>
    </row>
    <row r="59" spans="1:24">
      <c r="O59" s="491" t="s">
        <v>4157</v>
      </c>
    </row>
    <row r="61" spans="1:24">
      <c r="O61" s="488" t="s">
        <v>4733</v>
      </c>
      <c r="R61" s="488">
        <v>480</v>
      </c>
    </row>
    <row r="62" spans="1:24">
      <c r="O62" s="488" t="s">
        <v>4734</v>
      </c>
    </row>
    <row r="63" spans="1:24">
      <c r="O63" s="488" t="s">
        <v>1814</v>
      </c>
      <c r="R63" s="488">
        <f>R61*6%</f>
        <v>28.799999999999997</v>
      </c>
    </row>
    <row r="64" spans="1:24">
      <c r="T64" s="492" t="s">
        <v>5485</v>
      </c>
      <c r="U64" s="488" t="s">
        <v>5486</v>
      </c>
      <c r="X64" s="488">
        <v>450</v>
      </c>
    </row>
    <row r="65" spans="13:24">
      <c r="M65" s="492" t="s">
        <v>4744</v>
      </c>
      <c r="N65" s="492" t="s">
        <v>4832</v>
      </c>
      <c r="O65" s="488" t="s">
        <v>4833</v>
      </c>
      <c r="R65" s="488">
        <v>100</v>
      </c>
      <c r="U65" s="488" t="s">
        <v>5487</v>
      </c>
    </row>
    <row r="66" spans="13:24">
      <c r="O66" s="410" t="s">
        <v>4834</v>
      </c>
      <c r="U66" s="488" t="s">
        <v>5490</v>
      </c>
      <c r="X66" s="488">
        <f>X64*6%</f>
        <v>27</v>
      </c>
    </row>
    <row r="67" spans="13:24">
      <c r="M67" s="492"/>
      <c r="N67" s="492"/>
      <c r="O67" s="488" t="s">
        <v>1814</v>
      </c>
      <c r="R67" s="488">
        <f>R65*6%</f>
        <v>6</v>
      </c>
    </row>
    <row r="68" spans="13:24">
      <c r="T68" s="492" t="s">
        <v>5488</v>
      </c>
      <c r="U68" s="488" t="s">
        <v>5486</v>
      </c>
      <c r="X68" s="488">
        <v>450</v>
      </c>
    </row>
    <row r="69" spans="13:24">
      <c r="T69" s="492"/>
      <c r="U69" s="488" t="s">
        <v>5489</v>
      </c>
    </row>
    <row r="70" spans="13:24">
      <c r="O70" s="488" t="s">
        <v>4857</v>
      </c>
      <c r="R70" s="488">
        <v>900</v>
      </c>
      <c r="U70" s="488" t="s">
        <v>5490</v>
      </c>
      <c r="X70" s="488">
        <f>X68*6%</f>
        <v>27</v>
      </c>
    </row>
    <row r="71" spans="13:24">
      <c r="O71" s="488" t="s">
        <v>4858</v>
      </c>
      <c r="T71" s="140"/>
    </row>
    <row r="72" spans="13:24">
      <c r="O72" s="488" t="s">
        <v>1814</v>
      </c>
      <c r="R72" s="488">
        <f>R70*6%</f>
        <v>54</v>
      </c>
      <c r="T72" s="492" t="s">
        <v>5491</v>
      </c>
      <c r="U72" s="488" t="s">
        <v>5492</v>
      </c>
      <c r="X72" s="488">
        <v>450</v>
      </c>
    </row>
    <row r="73" spans="13:24">
      <c r="U73" s="488" t="s">
        <v>5493</v>
      </c>
    </row>
    <row r="74" spans="13:24">
      <c r="T74" s="492"/>
      <c r="U74" s="488" t="s">
        <v>5490</v>
      </c>
      <c r="X74" s="488">
        <f>X72*6%</f>
        <v>27</v>
      </c>
    </row>
    <row r="76" spans="13:24">
      <c r="O76" s="488" t="s">
        <v>4859</v>
      </c>
      <c r="R76" s="488">
        <v>450</v>
      </c>
    </row>
    <row r="77" spans="13:24">
      <c r="O77" s="488" t="s">
        <v>4970</v>
      </c>
    </row>
    <row r="78" spans="13:24">
      <c r="O78" s="488" t="s">
        <v>1814</v>
      </c>
      <c r="R78" s="488">
        <f>R76*6%</f>
        <v>27</v>
      </c>
    </row>
    <row r="81" spans="13:18">
      <c r="O81" s="488" t="s">
        <v>5023</v>
      </c>
      <c r="R81" s="488">
        <v>900</v>
      </c>
    </row>
    <row r="82" spans="13:18">
      <c r="O82" s="488" t="s">
        <v>5024</v>
      </c>
    </row>
    <row r="86" spans="13:18">
      <c r="M86" s="492"/>
      <c r="N86" s="492" t="s">
        <v>5436</v>
      </c>
      <c r="O86" s="488" t="s">
        <v>5398</v>
      </c>
      <c r="R86" s="488">
        <v>500</v>
      </c>
    </row>
    <row r="87" spans="13:18">
      <c r="O87" s="488" t="s">
        <v>5399</v>
      </c>
    </row>
    <row r="88" spans="13:18">
      <c r="O88" s="488" t="s">
        <v>5175</v>
      </c>
      <c r="R88" s="488">
        <v>30</v>
      </c>
    </row>
    <row r="95" spans="13:18">
      <c r="O95" s="488" t="s">
        <v>4615</v>
      </c>
      <c r="R95" s="488">
        <v>450</v>
      </c>
    </row>
    <row r="96" spans="13:18">
      <c r="O96" s="488" t="s">
        <v>5673</v>
      </c>
    </row>
    <row r="97" spans="15:19">
      <c r="O97" s="488" t="s">
        <v>5175</v>
      </c>
      <c r="R97" s="488">
        <v>27</v>
      </c>
    </row>
    <row r="99" spans="15:19">
      <c r="O99" s="488" t="s">
        <v>5535</v>
      </c>
      <c r="R99" s="488">
        <v>450</v>
      </c>
    </row>
    <row r="100" spans="15:19">
      <c r="O100" s="488" t="s">
        <v>5673</v>
      </c>
    </row>
    <row r="101" spans="15:19">
      <c r="O101" s="488" t="s">
        <v>5175</v>
      </c>
      <c r="R101" s="488">
        <v>27</v>
      </c>
    </row>
    <row r="104" spans="15:19">
      <c r="O104" s="488" t="s">
        <v>5851</v>
      </c>
      <c r="S104" s="488">
        <v>450</v>
      </c>
    </row>
    <row r="105" spans="15:19">
      <c r="O105" s="488" t="s">
        <v>6181</v>
      </c>
    </row>
    <row r="106" spans="15:19">
      <c r="O106" s="488" t="s">
        <v>5175</v>
      </c>
      <c r="S106" s="488">
        <f>S104*6%</f>
        <v>27</v>
      </c>
    </row>
    <row r="108" spans="15:19">
      <c r="O108" s="488" t="s">
        <v>5535</v>
      </c>
      <c r="S108" s="488">
        <v>450</v>
      </c>
    </row>
    <row r="109" spans="15:19">
      <c r="O109" s="488" t="s">
        <v>6181</v>
      </c>
    </row>
    <row r="111" spans="15:19">
      <c r="O111" s="488" t="s">
        <v>5175</v>
      </c>
      <c r="S111" s="488">
        <f>S108*6%</f>
        <v>27</v>
      </c>
    </row>
    <row r="113" spans="14:21">
      <c r="N113" s="492"/>
      <c r="O113" s="492"/>
      <c r="P113" s="492"/>
      <c r="Q113" s="491" t="s">
        <v>6188</v>
      </c>
      <c r="R113" s="491"/>
    </row>
    <row r="114" spans="14:21">
      <c r="Q114" s="410"/>
      <c r="R114" s="410"/>
    </row>
    <row r="115" spans="14:21">
      <c r="N115" s="492" t="s">
        <v>6186</v>
      </c>
      <c r="O115" s="492" t="s">
        <v>6187</v>
      </c>
      <c r="P115" s="492"/>
      <c r="Q115" s="488" t="s">
        <v>3509</v>
      </c>
      <c r="U115" s="488">
        <v>500</v>
      </c>
    </row>
    <row r="116" spans="14:21">
      <c r="Q116" s="488" t="s">
        <v>6189</v>
      </c>
    </row>
    <row r="117" spans="14:21">
      <c r="Q117" s="488" t="s">
        <v>5175</v>
      </c>
      <c r="U117" s="488">
        <v>30</v>
      </c>
    </row>
    <row r="119" spans="14:21">
      <c r="Q119" s="491" t="s">
        <v>4157</v>
      </c>
    </row>
    <row r="120" spans="14:21">
      <c r="N120" s="492"/>
      <c r="O120" s="492"/>
      <c r="P120" s="492"/>
    </row>
    <row r="121" spans="14:21">
      <c r="N121" s="492" t="s">
        <v>6191</v>
      </c>
      <c r="O121" s="492" t="s">
        <v>6192</v>
      </c>
      <c r="P121" s="492"/>
      <c r="Q121" s="488" t="s">
        <v>6193</v>
      </c>
      <c r="U121" s="488">
        <v>3400</v>
      </c>
    </row>
    <row r="122" spans="14:21">
      <c r="N122" s="492"/>
      <c r="O122" s="492"/>
      <c r="P122" s="492"/>
      <c r="Q122" s="488" t="s">
        <v>6194</v>
      </c>
      <c r="U122" s="488">
        <v>3400</v>
      </c>
    </row>
    <row r="123" spans="14:21">
      <c r="O123" s="140"/>
      <c r="P123" s="140"/>
    </row>
    <row r="125" spans="14:21">
      <c r="N125" s="492"/>
      <c r="O125" s="492"/>
      <c r="P125" s="492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1-000000000000}">
  <sheetPr codeName="Sheet147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4.42578125" style="111" customWidth="1"/>
    <col min="3" max="3" width="0.85546875" style="111" customWidth="1"/>
    <col min="4" max="4" width="22.42578125" style="111" customWidth="1"/>
    <col min="5" max="5" width="1.5703125" style="111" customWidth="1"/>
    <col min="6" max="6" width="13.140625" style="111" customWidth="1"/>
    <col min="7" max="7" width="8.28515625" style="111" customWidth="1"/>
    <col min="8" max="8" width="13.710937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489" t="s">
        <v>6687</v>
      </c>
    </row>
    <row r="10" spans="1:8">
      <c r="A10" s="111" t="s">
        <v>1325</v>
      </c>
      <c r="F10" s="112" t="s">
        <v>1180</v>
      </c>
      <c r="G10" s="132" t="s">
        <v>6686</v>
      </c>
    </row>
    <row r="11" spans="1:8">
      <c r="A11" s="111" t="s">
        <v>2647</v>
      </c>
      <c r="F11" s="112" t="s">
        <v>1181</v>
      </c>
      <c r="G11" s="132" t="s">
        <v>1094</v>
      </c>
    </row>
    <row r="12" spans="1:8">
      <c r="A12" s="111" t="s">
        <v>2648</v>
      </c>
      <c r="F12" s="112" t="s">
        <v>1182</v>
      </c>
      <c r="G12" s="111" t="s">
        <v>6688</v>
      </c>
    </row>
    <row r="13" spans="1:8">
      <c r="A13" s="111" t="s">
        <v>2649</v>
      </c>
      <c r="G13" s="111" t="s">
        <v>5914</v>
      </c>
    </row>
    <row r="14" spans="1:8">
      <c r="A14" s="111" t="s">
        <v>1327</v>
      </c>
    </row>
    <row r="16" spans="1:8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6689</v>
      </c>
      <c r="E18" s="2"/>
      <c r="H18" s="149"/>
    </row>
    <row r="19" spans="1:8">
      <c r="D19" s="2"/>
      <c r="E19" s="2"/>
    </row>
    <row r="20" spans="1:8">
      <c r="A20" s="161" t="s">
        <v>6690</v>
      </c>
      <c r="B20" s="241" t="s">
        <v>6691</v>
      </c>
      <c r="C20" s="335"/>
      <c r="D20" s="111" t="s">
        <v>6692</v>
      </c>
      <c r="H20" s="149">
        <f>440+880+880+440</f>
        <v>2640</v>
      </c>
    </row>
    <row r="21" spans="1:8">
      <c r="A21" s="161"/>
      <c r="B21" s="155"/>
      <c r="C21" s="157"/>
      <c r="D21" s="111" t="s">
        <v>6693</v>
      </c>
      <c r="H21" s="111">
        <f>18+55+16+105</f>
        <v>194</v>
      </c>
    </row>
    <row r="22" spans="1:8">
      <c r="D22" s="111" t="s">
        <v>6694</v>
      </c>
      <c r="E22" s="2"/>
      <c r="H22" s="111">
        <v>506</v>
      </c>
    </row>
    <row r="23" spans="1:8">
      <c r="D23" s="2"/>
      <c r="E23" s="2"/>
    </row>
    <row r="24" spans="1:8">
      <c r="D24" s="2"/>
      <c r="E24" s="2"/>
    </row>
    <row r="25" spans="1:8">
      <c r="A25" s="116"/>
      <c r="B25" s="116"/>
      <c r="C25" s="116"/>
      <c r="D25" s="2"/>
    </row>
    <row r="26" spans="1:8">
      <c r="A26" s="161"/>
      <c r="B26" s="116"/>
      <c r="C26" s="116"/>
    </row>
    <row r="27" spans="1:8">
      <c r="A27" s="161"/>
      <c r="B27" s="116"/>
      <c r="C27" s="116"/>
      <c r="E27" s="2"/>
    </row>
    <row r="29" spans="1:8">
      <c r="A29" s="116"/>
      <c r="B29" s="116"/>
      <c r="C29" s="116"/>
    </row>
    <row r="30" spans="1:8">
      <c r="A30" s="148"/>
    </row>
    <row r="33" spans="1:8">
      <c r="D33" s="120"/>
      <c r="E33" s="120"/>
    </row>
    <row r="35" spans="1:8" ht="13.5" thickBot="1">
      <c r="H35" s="127">
        <f>SUM(H20:H34)</f>
        <v>3340</v>
      </c>
    </row>
    <row r="36" spans="1:8" ht="13.5" thickTop="1"/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Thousand Three Hundred Forty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23" t="s">
        <v>10</v>
      </c>
      <c r="F39" s="265" t="s">
        <v>2894</v>
      </c>
      <c r="G39" s="266"/>
      <c r="H39" s="267"/>
    </row>
    <row r="41" spans="1:8">
      <c r="A41" s="126"/>
    </row>
    <row r="42" spans="1:8">
      <c r="A42" s="111" t="s">
        <v>52</v>
      </c>
      <c r="D42" s="121"/>
      <c r="E42" s="121"/>
    </row>
    <row r="43" spans="1:8">
      <c r="A43" s="122"/>
      <c r="B43" s="122"/>
    </row>
    <row r="45" spans="1:8">
      <c r="A45" s="123" t="s">
        <v>8</v>
      </c>
      <c r="D45" s="123" t="s">
        <v>8</v>
      </c>
      <c r="F45" s="123" t="s">
        <v>7</v>
      </c>
      <c r="H45" s="124"/>
    </row>
    <row r="49" spans="1:8">
      <c r="A49" s="277"/>
      <c r="B49" s="122"/>
      <c r="D49" s="277"/>
      <c r="F49" s="122"/>
      <c r="G49" s="122"/>
      <c r="H49" s="122"/>
    </row>
    <row r="50" spans="1:8" s="126" customFormat="1" ht="17.100000000000001" customHeight="1">
      <c r="A50" s="111" t="s">
        <v>2948</v>
      </c>
      <c r="B50" s="125"/>
      <c r="C50" s="125"/>
      <c r="D50" s="111" t="s">
        <v>103</v>
      </c>
      <c r="F50" s="126" t="s">
        <v>3</v>
      </c>
    </row>
    <row r="51" spans="1:8">
      <c r="F51" s="111" t="s">
        <v>2</v>
      </c>
    </row>
    <row r="53" spans="1:8">
      <c r="F53" s="2" t="s">
        <v>1</v>
      </c>
    </row>
    <row r="54" spans="1:8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5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1-000000000000}">
  <sheetPr codeName="Sheet148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28515625" style="111" customWidth="1"/>
    <col min="2" max="2" width="14.42578125" style="111" customWidth="1"/>
    <col min="3" max="3" width="22.42578125" style="111" customWidth="1"/>
    <col min="4" max="4" width="13.140625" style="111" customWidth="1"/>
    <col min="5" max="5" width="8.71093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1245</v>
      </c>
    </row>
    <row r="10" spans="1:6">
      <c r="A10" s="111" t="s">
        <v>1240</v>
      </c>
      <c r="D10" s="112" t="s">
        <v>1180</v>
      </c>
      <c r="E10" s="112" t="s">
        <v>1246</v>
      </c>
    </row>
    <row r="11" spans="1:6">
      <c r="A11" s="111" t="s">
        <v>1241</v>
      </c>
      <c r="D11" s="112" t="s">
        <v>1181</v>
      </c>
      <c r="E11" s="112" t="s">
        <v>1094</v>
      </c>
    </row>
    <row r="12" spans="1:6">
      <c r="A12" s="111" t="s">
        <v>1242</v>
      </c>
      <c r="D12" s="112" t="s">
        <v>1182</v>
      </c>
      <c r="E12" s="112" t="s">
        <v>1247</v>
      </c>
    </row>
    <row r="13" spans="1:6">
      <c r="A13" s="111" t="s">
        <v>1243</v>
      </c>
    </row>
    <row r="14" spans="1:6">
      <c r="A14" s="111" t="s">
        <v>1244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48"/>
      <c r="C18" s="2"/>
    </row>
    <row r="19" spans="1:6">
      <c r="A19" s="159" t="s">
        <v>1248</v>
      </c>
      <c r="B19" s="121"/>
      <c r="C19" s="111" t="s">
        <v>1249</v>
      </c>
      <c r="F19" s="111">
        <v>5200</v>
      </c>
    </row>
    <row r="21" spans="1:6">
      <c r="A21" s="115"/>
      <c r="B21" s="121"/>
      <c r="F21" s="149"/>
    </row>
    <row r="22" spans="1:6">
      <c r="A22" s="148"/>
      <c r="B22" s="157"/>
      <c r="F22" s="149"/>
    </row>
    <row r="23" spans="1:6">
      <c r="A23" s="148"/>
      <c r="B23" s="157"/>
      <c r="F23" s="149"/>
    </row>
    <row r="24" spans="1:6">
      <c r="A24" s="148"/>
      <c r="B24" s="157"/>
      <c r="F24" s="149"/>
    </row>
    <row r="25" spans="1:6">
      <c r="A25" s="148"/>
      <c r="B25" s="157"/>
      <c r="F25" s="149"/>
    </row>
    <row r="26" spans="1:6">
      <c r="A26" s="148"/>
      <c r="B26" s="120"/>
    </row>
    <row r="27" spans="1:6">
      <c r="A27" s="148"/>
    </row>
    <row r="28" spans="1:6">
      <c r="A28" s="148"/>
    </row>
    <row r="33" spans="1:6" ht="13.5" thickBot="1">
      <c r="F33" s="127">
        <f>SUM(F20:F32)</f>
        <v>0</v>
      </c>
    </row>
    <row r="34" spans="1:6" ht="13.5" thickTop="1"/>
    <row r="35" spans="1:6" ht="20.100000000000001" customHeight="1">
      <c r="A35" s="118" t="s">
        <v>204</v>
      </c>
      <c r="B35" s="118" t="s">
        <v>1250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1-000000000000}">
  <sheetPr codeName="Sheet149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28515625" style="111" customWidth="1"/>
    <col min="2" max="2" width="14.42578125" style="111" customWidth="1"/>
    <col min="3" max="3" width="22.42578125" style="111" customWidth="1"/>
    <col min="4" max="4" width="13.140625" style="111" customWidth="1"/>
    <col min="5" max="5" width="8.71093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1310</v>
      </c>
    </row>
    <row r="10" spans="1:6">
      <c r="A10" s="111" t="s">
        <v>1306</v>
      </c>
      <c r="D10" s="112" t="s">
        <v>1180</v>
      </c>
      <c r="E10" s="166" t="s">
        <v>1288</v>
      </c>
    </row>
    <row r="11" spans="1:6">
      <c r="A11" s="111" t="s">
        <v>1307</v>
      </c>
      <c r="D11" s="112" t="s">
        <v>1181</v>
      </c>
      <c r="E11" s="112" t="s">
        <v>1094</v>
      </c>
    </row>
    <row r="12" spans="1:6">
      <c r="A12" s="111" t="s">
        <v>1308</v>
      </c>
      <c r="D12" s="112" t="s">
        <v>1182</v>
      </c>
      <c r="E12" s="112" t="s">
        <v>1311</v>
      </c>
    </row>
    <row r="13" spans="1:6">
      <c r="A13" s="111" t="s">
        <v>1309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48"/>
      <c r="C18" s="2" t="s">
        <v>1313</v>
      </c>
    </row>
    <row r="20" spans="1:6">
      <c r="A20" s="161" t="s">
        <v>1281</v>
      </c>
      <c r="B20" s="116" t="s">
        <v>1312</v>
      </c>
      <c r="C20" s="111" t="s">
        <v>1314</v>
      </c>
      <c r="F20" s="111">
        <f>22*110</f>
        <v>2420</v>
      </c>
    </row>
    <row r="22" spans="1:6">
      <c r="A22" s="115"/>
      <c r="B22" s="121"/>
      <c r="C22" s="111" t="s">
        <v>1315</v>
      </c>
      <c r="F22" s="149">
        <f>20.875*4</f>
        <v>83.5</v>
      </c>
    </row>
    <row r="23" spans="1:6">
      <c r="A23" s="148"/>
      <c r="B23" s="157"/>
      <c r="F23" s="149"/>
    </row>
    <row r="24" spans="1:6">
      <c r="A24" s="148"/>
      <c r="B24" s="157"/>
      <c r="F24" s="149"/>
    </row>
    <row r="25" spans="1:6">
      <c r="A25" s="148"/>
      <c r="B25" s="157"/>
      <c r="F25" s="149"/>
    </row>
    <row r="26" spans="1:6">
      <c r="A26" s="148"/>
      <c r="B26" s="120"/>
    </row>
    <row r="27" spans="1:6">
      <c r="A27" s="148"/>
    </row>
    <row r="28" spans="1:6">
      <c r="A28" s="148"/>
    </row>
    <row r="33" spans="1:6" ht="13.5" thickBot="1">
      <c r="F33" s="127">
        <f>SUM(F20:F32)</f>
        <v>2503.5</v>
      </c>
    </row>
    <row r="34" spans="1:6" ht="13.5" thickTop="1"/>
    <row r="35" spans="1:6" ht="20.100000000000001" customHeight="1">
      <c r="A35" s="118" t="s">
        <v>204</v>
      </c>
      <c r="B35" s="118" t="s">
        <v>1316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1-000000000000}">
  <sheetPr codeName="Sheet150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28515625" style="111" customWidth="1"/>
    <col min="2" max="2" width="14.42578125" style="111" customWidth="1"/>
    <col min="3" max="3" width="22.42578125" style="111" customWidth="1"/>
    <col min="4" max="4" width="13.140625" style="111" customWidth="1"/>
    <col min="5" max="5" width="8.71093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1787</v>
      </c>
    </row>
    <row r="10" spans="1:6">
      <c r="A10" s="111" t="s">
        <v>1234</v>
      </c>
      <c r="D10" s="112" t="s">
        <v>1180</v>
      </c>
      <c r="E10" s="112" t="s">
        <v>1786</v>
      </c>
    </row>
    <row r="11" spans="1:6">
      <c r="A11" s="111" t="s">
        <v>1235</v>
      </c>
      <c r="D11" s="112" t="s">
        <v>1181</v>
      </c>
      <c r="E11" s="112" t="s">
        <v>1094</v>
      </c>
    </row>
    <row r="12" spans="1:6">
      <c r="A12" s="111" t="s">
        <v>1236</v>
      </c>
      <c r="D12" s="112" t="s">
        <v>1182</v>
      </c>
      <c r="E12" s="112" t="s">
        <v>1788</v>
      </c>
    </row>
    <row r="13" spans="1:6">
      <c r="A13" s="111" t="s">
        <v>1237</v>
      </c>
    </row>
    <row r="14" spans="1:6">
      <c r="A14" s="111" t="s">
        <v>1238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48"/>
      <c r="C18" s="2" t="s">
        <v>1789</v>
      </c>
    </row>
    <row r="19" spans="1:6">
      <c r="A19" s="161"/>
      <c r="B19" s="116"/>
      <c r="C19" s="2" t="s">
        <v>1790</v>
      </c>
    </row>
    <row r="20" spans="1:6">
      <c r="A20" s="116" t="s">
        <v>1791</v>
      </c>
      <c r="B20" s="116" t="s">
        <v>1792</v>
      </c>
      <c r="C20" s="111" t="s">
        <v>1793</v>
      </c>
      <c r="F20" s="111">
        <f>250*17</f>
        <v>4250</v>
      </c>
    </row>
    <row r="21" spans="1:6">
      <c r="A21" s="115"/>
      <c r="B21" s="121"/>
      <c r="C21" s="111" t="s">
        <v>1794</v>
      </c>
      <c r="F21" s="149"/>
    </row>
    <row r="22" spans="1:6">
      <c r="A22" s="148"/>
      <c r="B22" s="157"/>
      <c r="F22" s="149"/>
    </row>
    <row r="23" spans="1:6">
      <c r="A23" s="148"/>
      <c r="B23" s="157"/>
      <c r="F23" s="149"/>
    </row>
    <row r="24" spans="1:6">
      <c r="A24" s="148"/>
      <c r="B24" s="157"/>
      <c r="F24" s="149"/>
    </row>
    <row r="25" spans="1:6">
      <c r="A25" s="148"/>
      <c r="B25" s="157"/>
      <c r="F25" s="149"/>
    </row>
    <row r="26" spans="1:6">
      <c r="A26" s="148"/>
      <c r="B26" s="120"/>
    </row>
    <row r="27" spans="1:6">
      <c r="A27" s="148"/>
    </row>
    <row r="28" spans="1:6">
      <c r="A28" s="148"/>
    </row>
    <row r="33" spans="1:6" ht="13.5" thickBot="1">
      <c r="F33" s="127">
        <f>SUM(F20:F32)</f>
        <v>4250</v>
      </c>
    </row>
    <row r="34" spans="1:6" ht="13.5" thickTop="1"/>
    <row r="35" spans="1:6" ht="20.100000000000001" customHeight="1">
      <c r="A35" s="118" t="s">
        <v>204</v>
      </c>
      <c r="B35" s="118" t="s">
        <v>1795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1-000000000000}">
  <sheetPr codeName="Sheet151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28515625" style="111" customWidth="1"/>
    <col min="2" max="2" width="14.42578125" style="111" customWidth="1"/>
    <col min="3" max="3" width="22.42578125" style="111" customWidth="1"/>
    <col min="4" max="4" width="13.140625" style="111" customWidth="1"/>
    <col min="5" max="5" width="8.71093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1301</v>
      </c>
    </row>
    <row r="10" spans="1:6">
      <c r="A10" s="111" t="s">
        <v>1194</v>
      </c>
      <c r="D10" s="112" t="s">
        <v>1180</v>
      </c>
      <c r="E10" s="166" t="s">
        <v>1288</v>
      </c>
    </row>
    <row r="11" spans="1:6">
      <c r="A11" s="111" t="s">
        <v>1195</v>
      </c>
      <c r="D11" s="112" t="s">
        <v>1181</v>
      </c>
      <c r="E11" s="112" t="s">
        <v>1094</v>
      </c>
    </row>
    <row r="12" spans="1:6">
      <c r="A12" s="111" t="s">
        <v>1149</v>
      </c>
      <c r="D12" s="112" t="s">
        <v>1182</v>
      </c>
      <c r="E12" s="112" t="s">
        <v>1302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48"/>
      <c r="C18" s="2"/>
    </row>
    <row r="19" spans="1:6">
      <c r="A19" s="161" t="s">
        <v>1303</v>
      </c>
      <c r="B19" s="121" t="s">
        <v>1304</v>
      </c>
      <c r="C19" s="111" t="s">
        <v>1319</v>
      </c>
      <c r="F19" s="111">
        <v>500</v>
      </c>
    </row>
    <row r="20" spans="1:6">
      <c r="C20" s="111" t="s">
        <v>1305</v>
      </c>
    </row>
    <row r="21" spans="1:6">
      <c r="A21" s="115"/>
      <c r="B21" s="121"/>
      <c r="C21" s="167" t="s">
        <v>1317</v>
      </c>
      <c r="F21" s="149"/>
    </row>
    <row r="22" spans="1:6">
      <c r="A22" s="148"/>
      <c r="B22" s="157"/>
      <c r="C22" s="167" t="s">
        <v>1318</v>
      </c>
      <c r="F22" s="149"/>
    </row>
    <row r="23" spans="1:6">
      <c r="A23" s="148"/>
      <c r="B23" s="157"/>
      <c r="F23" s="149"/>
    </row>
    <row r="24" spans="1:6">
      <c r="A24" s="148"/>
      <c r="B24" s="157"/>
      <c r="F24" s="149"/>
    </row>
    <row r="25" spans="1:6">
      <c r="A25" s="148"/>
      <c r="B25" s="157"/>
      <c r="F25" s="149"/>
    </row>
    <row r="26" spans="1:6">
      <c r="A26" s="148"/>
      <c r="B26" s="120"/>
    </row>
    <row r="27" spans="1:6">
      <c r="A27" s="148"/>
    </row>
    <row r="28" spans="1:6">
      <c r="A28" s="148"/>
    </row>
    <row r="33" spans="1:6" ht="13.5" thickBot="1">
      <c r="F33" s="127">
        <f>SUM(F20:F32)</f>
        <v>0</v>
      </c>
    </row>
    <row r="34" spans="1:6" ht="13.5" thickTop="1"/>
    <row r="35" spans="1:6" ht="20.100000000000001" customHeight="1">
      <c r="A35" s="118" t="s">
        <v>204</v>
      </c>
      <c r="B35" s="118" t="s">
        <v>1284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1-000000000000}">
  <sheetPr codeName="Sheet29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5703125" style="111" customWidth="1"/>
    <col min="2" max="2" width="13.42578125" style="111" customWidth="1"/>
    <col min="3" max="3" width="21.42578125" style="111" customWidth="1"/>
    <col min="4" max="4" width="13" style="111" customWidth="1"/>
    <col min="5" max="5" width="10.71093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1090</v>
      </c>
      <c r="E9" s="111" t="s">
        <v>1456</v>
      </c>
    </row>
    <row r="10" spans="1:6">
      <c r="A10" s="111" t="s">
        <v>701</v>
      </c>
      <c r="D10" s="112" t="s">
        <v>1162</v>
      </c>
      <c r="E10" s="112" t="s">
        <v>1454</v>
      </c>
    </row>
    <row r="11" spans="1:6">
      <c r="D11" s="112" t="s">
        <v>1163</v>
      </c>
      <c r="E11" s="112" t="s">
        <v>1094</v>
      </c>
    </row>
    <row r="12" spans="1:6">
      <c r="D12" s="112" t="s">
        <v>1096</v>
      </c>
      <c r="E12" s="112" t="s">
        <v>1457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8" spans="1:6">
      <c r="A18" s="148"/>
      <c r="C18" s="2"/>
    </row>
    <row r="19" spans="1:6">
      <c r="A19" s="161" t="s">
        <v>1460</v>
      </c>
      <c r="C19" s="111" t="s">
        <v>1458</v>
      </c>
      <c r="F19" s="111">
        <v>99</v>
      </c>
    </row>
    <row r="20" spans="1:6">
      <c r="A20" s="115"/>
    </row>
    <row r="21" spans="1:6">
      <c r="A21" s="161" t="s">
        <v>1455</v>
      </c>
      <c r="C21" s="111" t="s">
        <v>1459</v>
      </c>
      <c r="F21" s="149">
        <v>94.1</v>
      </c>
    </row>
    <row r="22" spans="1:6">
      <c r="A22" s="115"/>
      <c r="F22" s="149"/>
    </row>
    <row r="23" spans="1:6">
      <c r="A23" s="148"/>
      <c r="F23" s="149"/>
    </row>
    <row r="24" spans="1:6">
      <c r="A24" s="148"/>
      <c r="B24" s="120"/>
      <c r="F24" s="149"/>
    </row>
    <row r="25" spans="1:6">
      <c r="A25" s="148"/>
      <c r="B25" s="120"/>
      <c r="F25" s="149"/>
    </row>
    <row r="26" spans="1:6">
      <c r="A26" s="148"/>
      <c r="B26" s="120"/>
    </row>
    <row r="27" spans="1:6">
      <c r="A27" s="148"/>
    </row>
    <row r="28" spans="1:6">
      <c r="A28" s="148"/>
    </row>
    <row r="33" spans="1:6" ht="13.5" thickBot="1">
      <c r="F33" s="127">
        <f>SUM(F20:F32)</f>
        <v>94.1</v>
      </c>
    </row>
    <row r="34" spans="1:6" ht="13.5" thickTop="1"/>
    <row r="35" spans="1:6" ht="20.100000000000001" customHeight="1">
      <c r="A35" s="118" t="s">
        <v>204</v>
      </c>
      <c r="B35" s="118" t="s">
        <v>1461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1-000000000000}">
  <sheetPr codeName="Sheet42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707</v>
      </c>
    </row>
    <row r="10" spans="1:6">
      <c r="A10" s="1" t="s">
        <v>706</v>
      </c>
      <c r="D10" s="21" t="s">
        <v>21</v>
      </c>
      <c r="E10" s="21" t="s">
        <v>489</v>
      </c>
    </row>
    <row r="11" spans="1:6">
      <c r="D11" s="21" t="s">
        <v>19</v>
      </c>
      <c r="E11" s="21" t="s">
        <v>18</v>
      </c>
    </row>
    <row r="12" spans="1:6">
      <c r="D12" s="21" t="s">
        <v>17</v>
      </c>
      <c r="E12" s="21" t="s">
        <v>705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3" spans="3:6">
      <c r="C23" s="1" t="s">
        <v>704</v>
      </c>
      <c r="F23" s="1">
        <v>1500</v>
      </c>
    </row>
    <row r="24" spans="3:6">
      <c r="C24" s="1" t="s">
        <v>703</v>
      </c>
    </row>
    <row r="25" spans="3:6">
      <c r="C25" s="1" t="s">
        <v>702</v>
      </c>
    </row>
    <row r="33" spans="1:6" ht="13.5" thickBot="1">
      <c r="F33" s="12">
        <f>SUM(F20:F32)</f>
        <v>1500</v>
      </c>
    </row>
    <row r="34" spans="1:6" ht="13.5" thickTop="1"/>
    <row r="35" spans="1:6" ht="20.100000000000001" customHeight="1">
      <c r="A35" s="10" t="s">
        <v>31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1-000000000000}">
  <sheetPr codeName="Sheet46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713</v>
      </c>
    </row>
    <row r="10" spans="1:6">
      <c r="A10" s="1" t="s">
        <v>712</v>
      </c>
      <c r="D10" s="21" t="s">
        <v>21</v>
      </c>
      <c r="E10" s="21" t="s">
        <v>50</v>
      </c>
    </row>
    <row r="11" spans="1:6">
      <c r="D11" s="21" t="s">
        <v>19</v>
      </c>
      <c r="E11" s="21" t="s">
        <v>18</v>
      </c>
    </row>
    <row r="12" spans="1:6">
      <c r="D12" s="21" t="s">
        <v>17</v>
      </c>
      <c r="E12" s="21" t="s">
        <v>711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22" spans="3:6">
      <c r="C22" s="1" t="s">
        <v>710</v>
      </c>
      <c r="F22" s="1">
        <v>160</v>
      </c>
    </row>
    <row r="23" spans="3:6">
      <c r="C23" s="1" t="s">
        <v>709</v>
      </c>
    </row>
    <row r="33" spans="1:6" ht="13.5" thickBot="1">
      <c r="F33" s="12">
        <f>SUM(F20:F32)</f>
        <v>160</v>
      </c>
    </row>
    <row r="34" spans="1:6" ht="13.5" thickTop="1"/>
    <row r="35" spans="1:6" ht="20.100000000000001" customHeight="1">
      <c r="A35" s="10" t="s">
        <v>708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1-000000000000}">
  <sheetPr codeName="Sheet61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722</v>
      </c>
    </row>
    <row r="10" spans="1:6">
      <c r="A10" s="1" t="s">
        <v>721</v>
      </c>
      <c r="D10" s="21" t="s">
        <v>21</v>
      </c>
      <c r="E10" s="21" t="s">
        <v>140</v>
      </c>
    </row>
    <row r="11" spans="1:6">
      <c r="A11" s="1" t="s">
        <v>720</v>
      </c>
      <c r="D11" s="21" t="s">
        <v>19</v>
      </c>
      <c r="E11" s="21" t="s">
        <v>18</v>
      </c>
    </row>
    <row r="12" spans="1:6">
      <c r="A12" s="1" t="s">
        <v>719</v>
      </c>
      <c r="D12" s="21" t="s">
        <v>17</v>
      </c>
      <c r="E12" s="21" t="s">
        <v>718</v>
      </c>
    </row>
    <row r="17" spans="1:6" s="15" customFormat="1" ht="20.100000000000001" customHeight="1">
      <c r="A17" s="18" t="s">
        <v>15</v>
      </c>
      <c r="B17" s="18"/>
      <c r="C17" s="19" t="s">
        <v>14</v>
      </c>
      <c r="D17" s="18"/>
      <c r="E17" s="17"/>
      <c r="F17" s="16" t="s">
        <v>13</v>
      </c>
    </row>
    <row r="20" spans="1:6">
      <c r="C20" s="14" t="s">
        <v>717</v>
      </c>
    </row>
    <row r="21" spans="1:6">
      <c r="C21" s="44" t="s">
        <v>716</v>
      </c>
    </row>
    <row r="23" spans="1:6">
      <c r="A23" s="1" t="s">
        <v>715</v>
      </c>
      <c r="C23" s="1" t="s">
        <v>714</v>
      </c>
      <c r="F23" s="1">
        <v>5000</v>
      </c>
    </row>
    <row r="26" spans="1:6">
      <c r="C26" s="8"/>
    </row>
    <row r="33" spans="1:6" ht="13.5" thickBot="1">
      <c r="F33" s="12">
        <f>SUM(F20:F32)</f>
        <v>5000</v>
      </c>
    </row>
    <row r="34" spans="1:6" ht="13.5" thickTop="1"/>
    <row r="35" spans="1:6" ht="20.100000000000001" customHeight="1">
      <c r="A35" s="10" t="s">
        <v>59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1-000000000000}">
  <sheetPr codeName="Sheet95"/>
  <dimension ref="A1:H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0.7109375" style="1" customWidth="1"/>
    <col min="4" max="4" width="23" style="1" customWidth="1"/>
    <col min="5" max="5" width="0.855468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489" t="s">
        <v>6916</v>
      </c>
      <c r="H9" s="111"/>
    </row>
    <row r="10" spans="1:8">
      <c r="A10" s="111" t="s">
        <v>1128</v>
      </c>
      <c r="B10" s="111"/>
      <c r="C10" s="111"/>
      <c r="D10" s="111"/>
      <c r="E10" s="111"/>
      <c r="F10" s="112" t="s">
        <v>1162</v>
      </c>
      <c r="G10" s="489" t="s">
        <v>6899</v>
      </c>
      <c r="H10" s="111"/>
    </row>
    <row r="11" spans="1:8">
      <c r="A11" s="111" t="s">
        <v>1129</v>
      </c>
      <c r="B11" s="111"/>
      <c r="C11" s="111"/>
      <c r="D11" s="111"/>
      <c r="E11" s="111"/>
      <c r="F11" s="112" t="s">
        <v>1163</v>
      </c>
      <c r="G11" s="489" t="s">
        <v>1094</v>
      </c>
      <c r="H11" s="111"/>
    </row>
    <row r="12" spans="1:8">
      <c r="A12" s="111" t="s">
        <v>1130</v>
      </c>
      <c r="B12" s="111"/>
      <c r="C12" s="111"/>
      <c r="D12" s="111"/>
      <c r="E12" s="111"/>
      <c r="F12" s="112" t="s">
        <v>1135</v>
      </c>
      <c r="G12" s="483" t="s">
        <v>6917</v>
      </c>
      <c r="H12" s="111"/>
    </row>
    <row r="13" spans="1:8">
      <c r="A13" s="111" t="s">
        <v>1131</v>
      </c>
      <c r="B13" s="111"/>
      <c r="C13" s="111"/>
      <c r="D13" s="111"/>
      <c r="E13" s="111"/>
      <c r="F13" s="111"/>
      <c r="G13" s="483" t="s">
        <v>5914</v>
      </c>
      <c r="H13" s="111"/>
    </row>
    <row r="14" spans="1:8">
      <c r="A14" s="111"/>
      <c r="B14" s="111"/>
      <c r="C14" s="111"/>
      <c r="D14" s="111"/>
      <c r="E14" s="111"/>
      <c r="F14" s="111"/>
      <c r="G14" s="483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D18" s="2" t="s">
        <v>6188</v>
      </c>
      <c r="E18" s="2"/>
    </row>
    <row r="19" spans="1:8">
      <c r="D19" s="8" t="s">
        <v>11</v>
      </c>
    </row>
    <row r="20" spans="1:8">
      <c r="A20" s="485" t="s">
        <v>6808</v>
      </c>
      <c r="B20" s="485" t="s">
        <v>6918</v>
      </c>
      <c r="C20" s="116"/>
      <c r="D20" s="111" t="s">
        <v>6919</v>
      </c>
      <c r="E20" s="111"/>
      <c r="H20" s="111">
        <v>265.11</v>
      </c>
    </row>
    <row r="21" spans="1:8">
      <c r="A21" s="116"/>
      <c r="B21" s="116"/>
      <c r="C21" s="116"/>
      <c r="D21" s="111" t="s">
        <v>6920</v>
      </c>
      <c r="E21" s="111"/>
      <c r="H21" s="111"/>
    </row>
    <row r="22" spans="1:8">
      <c r="A22" s="116"/>
      <c r="B22" s="116"/>
      <c r="D22" s="111"/>
      <c r="E22" s="111"/>
      <c r="H22" s="111"/>
    </row>
    <row r="23" spans="1:8">
      <c r="A23" s="116"/>
      <c r="B23" s="116"/>
      <c r="C23" s="116"/>
      <c r="D23" s="111"/>
      <c r="E23" s="111"/>
      <c r="H23" s="111"/>
    </row>
    <row r="24" spans="1:8">
      <c r="A24" s="116"/>
      <c r="B24" s="116"/>
      <c r="C24" s="111"/>
      <c r="D24" s="111"/>
      <c r="E24" s="2"/>
      <c r="F24" s="111"/>
      <c r="G24" s="111"/>
      <c r="H24" s="111"/>
    </row>
    <row r="25" spans="1:8">
      <c r="A25" s="111"/>
      <c r="B25" s="111"/>
      <c r="C25" s="111"/>
      <c r="D25" s="111"/>
      <c r="E25" s="2"/>
      <c r="F25" s="111"/>
      <c r="G25" s="111"/>
      <c r="H25" s="111"/>
    </row>
    <row r="26" spans="1:8">
      <c r="A26" s="116"/>
      <c r="B26" s="116"/>
      <c r="C26" s="111"/>
      <c r="D26" s="111"/>
      <c r="E26" s="2"/>
      <c r="F26" s="111"/>
      <c r="G26" s="111"/>
      <c r="H26" s="111"/>
    </row>
    <row r="27" spans="1:8">
      <c r="A27" s="111"/>
      <c r="B27" s="111"/>
      <c r="C27" s="111"/>
      <c r="D27" s="111"/>
      <c r="E27" s="2"/>
      <c r="F27" s="111"/>
      <c r="G27" s="111"/>
      <c r="H27" s="111"/>
    </row>
    <row r="28" spans="1:8">
      <c r="A28" s="116"/>
      <c r="B28" s="116"/>
      <c r="C28" s="111"/>
      <c r="D28" s="111"/>
      <c r="E28" s="2"/>
      <c r="F28" s="111"/>
      <c r="G28" s="111"/>
      <c r="H28" s="111"/>
    </row>
    <row r="29" spans="1:8">
      <c r="A29" s="111"/>
      <c r="B29" s="111"/>
      <c r="C29" s="111"/>
      <c r="D29" s="111"/>
      <c r="E29" s="2"/>
      <c r="F29" s="111"/>
      <c r="G29" s="111"/>
      <c r="H29" s="111"/>
    </row>
    <row r="30" spans="1:8">
      <c r="A30" s="116"/>
      <c r="B30" s="116"/>
      <c r="C30" s="116"/>
      <c r="D30" s="111"/>
      <c r="E30" s="111"/>
      <c r="F30" s="111"/>
      <c r="G30" s="111"/>
      <c r="H30" s="111"/>
    </row>
    <row r="31" spans="1:8">
      <c r="A31" s="111"/>
      <c r="B31" s="111"/>
      <c r="C31" s="111"/>
      <c r="D31" s="111"/>
      <c r="E31" s="111"/>
      <c r="F31" s="111"/>
      <c r="G31" s="111"/>
      <c r="H31" s="111"/>
    </row>
    <row r="32" spans="1:8">
      <c r="A32" s="116"/>
      <c r="B32" s="116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16"/>
      <c r="B34" s="116"/>
      <c r="C34" s="116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SUM(H17:H34)</f>
        <v>265.11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Hundred Sixty-Five and 11/100 -----------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433"/>
      <c r="D43" s="111"/>
      <c r="E43" s="111"/>
      <c r="F43" s="111"/>
      <c r="G43" s="111"/>
      <c r="H43" s="111"/>
    </row>
    <row r="44" spans="1:8"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433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4:H4"/>
    <mergeCell ref="A1:H1"/>
    <mergeCell ref="A2:H2"/>
    <mergeCell ref="A3:H3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  <rowBreaks count="1" manualBreakCount="1">
    <brk id="51" max="7" man="1"/>
  </row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71"/>
  <dimension ref="A1:F56"/>
  <sheetViews>
    <sheetView view="pageBreakPreview" topLeftCell="A4" zoomScaleNormal="100" zoomScaleSheetLayoutView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3371</v>
      </c>
      <c r="F9" s="111"/>
    </row>
    <row r="10" spans="1:6">
      <c r="A10" s="111" t="s">
        <v>3292</v>
      </c>
      <c r="B10" s="111"/>
      <c r="C10" s="111"/>
      <c r="D10" s="112" t="s">
        <v>1162</v>
      </c>
      <c r="E10" s="112" t="s">
        <v>3364</v>
      </c>
      <c r="F10" s="111"/>
    </row>
    <row r="11" spans="1:6">
      <c r="A11" s="111" t="s">
        <v>3293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3294</v>
      </c>
      <c r="B12" s="111"/>
      <c r="C12" s="111"/>
      <c r="D12" s="112" t="s">
        <v>1135</v>
      </c>
      <c r="E12" s="112" t="s">
        <v>3372</v>
      </c>
      <c r="F12" s="111"/>
    </row>
    <row r="13" spans="1:6">
      <c r="A13" s="111" t="s">
        <v>3295</v>
      </c>
      <c r="B13" s="111"/>
      <c r="C13" s="111"/>
      <c r="D13" s="111"/>
      <c r="E13" s="131"/>
      <c r="F13" s="111"/>
    </row>
    <row r="14" spans="1:6">
      <c r="A14" s="111" t="s">
        <v>3296</v>
      </c>
      <c r="B14" s="111"/>
      <c r="C14" s="111"/>
      <c r="D14" s="111"/>
      <c r="E14" s="111"/>
      <c r="F14" s="111"/>
    </row>
    <row r="15" spans="1:6">
      <c r="A15" s="111" t="s">
        <v>1588</v>
      </c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48"/>
      <c r="B18" s="111"/>
      <c r="C18" s="2" t="s">
        <v>3297</v>
      </c>
      <c r="D18" s="111"/>
      <c r="E18" s="111"/>
      <c r="F18" s="111"/>
    </row>
    <row r="19" spans="1:6">
      <c r="A19" s="111"/>
      <c r="B19" s="111"/>
      <c r="C19" s="2"/>
      <c r="D19" s="111"/>
      <c r="E19" s="111"/>
      <c r="F19" s="111"/>
    </row>
    <row r="20" spans="1:6">
      <c r="A20" s="161" t="s">
        <v>3373</v>
      </c>
      <c r="B20" s="111" t="s">
        <v>3374</v>
      </c>
      <c r="C20" s="120" t="s">
        <v>3375</v>
      </c>
      <c r="D20" s="111"/>
      <c r="E20" s="111"/>
      <c r="F20" s="111">
        <v>2550</v>
      </c>
    </row>
    <row r="21" spans="1:6">
      <c r="A21" s="252"/>
      <c r="B21" s="111"/>
      <c r="C21" s="111"/>
      <c r="F21" s="111"/>
    </row>
    <row r="22" spans="1:6">
      <c r="A22" s="161"/>
      <c r="B22" s="111"/>
      <c r="C22" s="120" t="s">
        <v>3376</v>
      </c>
      <c r="D22" s="111"/>
      <c r="E22" s="111"/>
      <c r="F22" s="111">
        <v>120</v>
      </c>
    </row>
    <row r="23" spans="1:6">
      <c r="C23" s="111"/>
      <c r="F23" s="111"/>
    </row>
    <row r="24" spans="1:6">
      <c r="C24" s="120"/>
    </row>
    <row r="25" spans="1:6">
      <c r="C25" s="120"/>
      <c r="F25" s="111"/>
    </row>
    <row r="26" spans="1:6">
      <c r="A26" s="161"/>
      <c r="B26" s="111"/>
      <c r="C26" s="120"/>
      <c r="D26" s="111"/>
      <c r="E26" s="111"/>
      <c r="F26" s="111"/>
    </row>
    <row r="27" spans="1:6">
      <c r="A27" s="161"/>
      <c r="B27" s="111"/>
      <c r="C27" s="120"/>
      <c r="D27" s="111"/>
      <c r="E27" s="111"/>
      <c r="F27" s="111"/>
    </row>
    <row r="28" spans="1:6">
      <c r="A28" s="159"/>
      <c r="B28" s="111"/>
      <c r="C28" s="2"/>
      <c r="F28" s="111"/>
    </row>
    <row r="29" spans="1:6">
      <c r="A29" s="252"/>
      <c r="B29" s="111"/>
      <c r="C29" s="111"/>
      <c r="F29" s="111"/>
    </row>
    <row r="30" spans="1:6">
      <c r="A30" s="159"/>
      <c r="B30" s="111"/>
      <c r="C30" s="111"/>
      <c r="F30" s="111"/>
    </row>
    <row r="31" spans="1:6">
      <c r="A31" s="252"/>
      <c r="B31" s="111"/>
      <c r="C31" s="2"/>
      <c r="F31" s="111"/>
    </row>
    <row r="32" spans="1:6">
      <c r="A32" s="148"/>
      <c r="B32" s="111"/>
      <c r="C32" s="111"/>
      <c r="F32" s="111"/>
    </row>
    <row r="33" spans="1:6">
      <c r="A33" s="252"/>
      <c r="B33" s="111"/>
      <c r="C33" s="111"/>
      <c r="F33" s="111"/>
    </row>
    <row r="34" spans="1:6">
      <c r="A34" s="148"/>
      <c r="B34" s="111"/>
      <c r="C34" s="111"/>
      <c r="F34" s="111"/>
    </row>
    <row r="35" spans="1:6" ht="13.5" thickBot="1">
      <c r="A35" s="111"/>
      <c r="B35" s="111"/>
      <c r="C35" s="111"/>
      <c r="D35" s="111"/>
      <c r="E35" s="111"/>
      <c r="F35" s="127">
        <f>SUM(F19:F34)</f>
        <v>2670</v>
      </c>
    </row>
    <row r="36" spans="1:6" ht="13.5" thickTop="1">
      <c r="A36" s="126"/>
      <c r="B36" s="111"/>
      <c r="C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Six Hundred Seventy and NO/100 -----------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5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B44" s="111"/>
      <c r="C44" s="111"/>
      <c r="D44" s="111"/>
      <c r="E44" s="111"/>
      <c r="F44" s="111"/>
    </row>
    <row r="45" spans="1:6">
      <c r="A45" s="123" t="s">
        <v>8</v>
      </c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5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40FD1-3F72-4D26-9DF1-04EC76F23710}">
  <sheetPr codeName="Sheet605">
    <pageSetUpPr fitToPage="1"/>
  </sheetPr>
  <dimension ref="A1:H53"/>
  <sheetViews>
    <sheetView workbookViewId="0">
      <selection activeCell="G9" sqref="G9:G13"/>
    </sheetView>
  </sheetViews>
  <sheetFormatPr defaultRowHeight="12.75"/>
  <cols>
    <col min="1" max="1" width="16.28515625" style="483" customWidth="1"/>
    <col min="2" max="2" width="12.28515625" style="483" customWidth="1"/>
    <col min="3" max="3" width="1.140625" style="483" customWidth="1"/>
    <col min="4" max="4" width="22.42578125" style="483" customWidth="1"/>
    <col min="5" max="5" width="0.5703125" style="483" customWidth="1"/>
    <col min="6" max="6" width="13.140625" style="483" customWidth="1"/>
    <col min="7" max="7" width="10.5703125" style="483" customWidth="1"/>
    <col min="8" max="8" width="13.140625" style="483" customWidth="1"/>
    <col min="9" max="16384" width="9.140625" style="483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483" t="s">
        <v>24</v>
      </c>
      <c r="F8" s="22" t="s">
        <v>23</v>
      </c>
    </row>
    <row r="9" spans="1:8">
      <c r="F9" s="484" t="s">
        <v>1134</v>
      </c>
      <c r="G9" s="483" t="s">
        <v>6485</v>
      </c>
      <c r="H9" s="488"/>
    </row>
    <row r="10" spans="1:8">
      <c r="A10" s="483" t="s">
        <v>6487</v>
      </c>
      <c r="F10" s="484" t="s">
        <v>1180</v>
      </c>
      <c r="G10" s="487" t="s">
        <v>6478</v>
      </c>
      <c r="H10" s="488"/>
    </row>
    <row r="11" spans="1:8">
      <c r="A11" s="483" t="s">
        <v>6488</v>
      </c>
      <c r="F11" s="484" t="s">
        <v>1181</v>
      </c>
      <c r="G11" s="484" t="s">
        <v>2023</v>
      </c>
      <c r="H11" s="488"/>
    </row>
    <row r="12" spans="1:8">
      <c r="A12" s="483" t="s">
        <v>6489</v>
      </c>
      <c r="F12" s="484" t="s">
        <v>1182</v>
      </c>
      <c r="G12" s="486" t="s">
        <v>6486</v>
      </c>
      <c r="H12" s="488"/>
    </row>
    <row r="13" spans="1:8">
      <c r="A13" s="483" t="s">
        <v>1871</v>
      </c>
      <c r="G13" s="488" t="s">
        <v>5914</v>
      </c>
    </row>
    <row r="14" spans="1:8">
      <c r="A14" s="483" t="s">
        <v>1257</v>
      </c>
    </row>
    <row r="16" spans="1:8" s="15" customFormat="1" ht="20.100000000000001" customHeight="1">
      <c r="A16" s="18" t="s">
        <v>1193</v>
      </c>
      <c r="B16" s="505" t="s">
        <v>1098</v>
      </c>
      <c r="C16" s="505"/>
      <c r="D16" s="19" t="s">
        <v>14</v>
      </c>
      <c r="E16" s="19"/>
      <c r="F16" s="18"/>
      <c r="G16" s="17"/>
      <c r="H16" s="16" t="s">
        <v>13</v>
      </c>
    </row>
    <row r="18" spans="1:8">
      <c r="A18" s="485"/>
      <c r="B18" s="485"/>
      <c r="C18" s="485"/>
      <c r="D18" s="482" t="s">
        <v>4886</v>
      </c>
      <c r="E18" s="482"/>
    </row>
    <row r="19" spans="1:8">
      <c r="A19" s="485"/>
      <c r="B19" s="121"/>
      <c r="C19" s="121"/>
    </row>
    <row r="20" spans="1:8">
      <c r="A20" s="485" t="s">
        <v>6490</v>
      </c>
      <c r="B20" s="485" t="s">
        <v>6491</v>
      </c>
      <c r="C20" s="485"/>
      <c r="D20" s="483" t="s">
        <v>6492</v>
      </c>
      <c r="H20" s="483">
        <v>3200</v>
      </c>
    </row>
    <row r="21" spans="1:8">
      <c r="D21" s="483" t="s">
        <v>6493</v>
      </c>
    </row>
    <row r="22" spans="1:8">
      <c r="A22" s="485"/>
      <c r="B22" s="485"/>
      <c r="C22" s="485"/>
    </row>
    <row r="23" spans="1:8">
      <c r="A23" s="485"/>
      <c r="B23" s="121"/>
      <c r="C23" s="121"/>
    </row>
    <row r="24" spans="1:8">
      <c r="A24" s="485"/>
      <c r="B24" s="121"/>
      <c r="C24" s="121"/>
      <c r="D24" s="482"/>
      <c r="E24" s="482"/>
    </row>
    <row r="25" spans="1:8">
      <c r="A25" s="485"/>
      <c r="B25" s="121"/>
      <c r="C25" s="121"/>
    </row>
    <row r="26" spans="1:8">
      <c r="A26" s="485"/>
      <c r="B26" s="121"/>
      <c r="C26" s="121"/>
    </row>
    <row r="32" spans="1:8">
      <c r="A32" s="485"/>
      <c r="B32" s="121"/>
      <c r="C32" s="121"/>
    </row>
    <row r="33" spans="1:8">
      <c r="A33" s="485"/>
      <c r="B33" s="121"/>
      <c r="C33" s="121"/>
      <c r="H33" s="122"/>
    </row>
    <row r="34" spans="1:8" ht="13.5" thickBot="1">
      <c r="B34" s="121"/>
      <c r="C34" s="121"/>
      <c r="H34" s="127">
        <f>SUM(H18:H32)</f>
        <v>3200</v>
      </c>
    </row>
    <row r="35" spans="1:8" ht="13.5" thickTop="1"/>
    <row r="36" spans="1:8" ht="20.100000000000001" customHeight="1">
      <c r="A36" s="118" t="s">
        <v>204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Thousand Two Hundred and NO/100 -----------</v>
      </c>
      <c r="C36" s="202"/>
      <c r="D36" s="119"/>
      <c r="E36" s="119"/>
      <c r="F36" s="119"/>
      <c r="G36" s="119"/>
      <c r="H36" s="119"/>
    </row>
    <row r="37" spans="1:8">
      <c r="A37" s="486" t="s">
        <v>11</v>
      </c>
    </row>
    <row r="38" spans="1:8" ht="25.5">
      <c r="A38" s="126" t="s">
        <v>10</v>
      </c>
      <c r="F38" s="265" t="s">
        <v>2894</v>
      </c>
      <c r="G38" s="266"/>
      <c r="H38" s="267"/>
    </row>
    <row r="41" spans="1:8">
      <c r="A41" s="483" t="s">
        <v>52</v>
      </c>
      <c r="D41" s="121"/>
      <c r="E41" s="121"/>
    </row>
    <row r="42" spans="1:8">
      <c r="A42" s="122"/>
      <c r="B42" s="122"/>
      <c r="C42" s="433"/>
    </row>
    <row r="44" spans="1:8">
      <c r="A44" s="487" t="s">
        <v>8</v>
      </c>
      <c r="D44" s="487" t="s">
        <v>8</v>
      </c>
      <c r="F44" s="487" t="s">
        <v>7</v>
      </c>
      <c r="H44" s="124"/>
    </row>
    <row r="48" spans="1:8">
      <c r="A48" s="122" t="s">
        <v>51</v>
      </c>
      <c r="B48" s="122"/>
      <c r="C48" s="433"/>
      <c r="D48" s="122" t="s">
        <v>51</v>
      </c>
      <c r="F48" s="122"/>
      <c r="G48" s="122"/>
      <c r="H48" s="122"/>
    </row>
    <row r="49" spans="1:6" s="126" customFormat="1" ht="17.100000000000001" customHeight="1">
      <c r="A49" s="151" t="s">
        <v>2948</v>
      </c>
      <c r="B49" s="125"/>
      <c r="C49" s="125"/>
      <c r="D49" s="151" t="s">
        <v>103</v>
      </c>
      <c r="F49" s="126" t="s">
        <v>3</v>
      </c>
    </row>
    <row r="50" spans="1:6">
      <c r="F50" s="483" t="s">
        <v>2</v>
      </c>
    </row>
    <row r="52" spans="1:6">
      <c r="F52" s="482" t="s">
        <v>1</v>
      </c>
    </row>
    <row r="53" spans="1:6">
      <c r="F53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1-000000000000}">
  <sheetPr codeName="Sheet152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1199</v>
      </c>
      <c r="F9" s="111"/>
    </row>
    <row r="10" spans="1:6">
      <c r="A10" s="111" t="s">
        <v>1128</v>
      </c>
      <c r="B10" s="111"/>
      <c r="C10" s="111"/>
      <c r="D10" s="112" t="s">
        <v>1162</v>
      </c>
      <c r="E10" s="112" t="s">
        <v>1189</v>
      </c>
      <c r="F10" s="111"/>
    </row>
    <row r="11" spans="1:6">
      <c r="A11" s="111" t="s">
        <v>1129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1130</v>
      </c>
      <c r="B12" s="111"/>
      <c r="C12" s="111"/>
      <c r="D12" s="112" t="s">
        <v>1135</v>
      </c>
      <c r="E12" s="112" t="s">
        <v>1200</v>
      </c>
      <c r="F12" s="111"/>
    </row>
    <row r="13" spans="1:6">
      <c r="A13" s="111" t="s">
        <v>1131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2" t="s">
        <v>1196</v>
      </c>
      <c r="D18" s="111"/>
      <c r="E18" s="111"/>
      <c r="F18" s="111"/>
    </row>
    <row r="19" spans="1:6">
      <c r="A19" s="116"/>
      <c r="B19" s="116"/>
      <c r="C19" s="111"/>
      <c r="D19" s="111"/>
      <c r="E19" s="111"/>
      <c r="F19" s="111"/>
    </row>
    <row r="20" spans="1:6">
      <c r="A20" s="116" t="s">
        <v>1197</v>
      </c>
      <c r="B20" s="120" t="s">
        <v>1198</v>
      </c>
      <c r="C20" s="111" t="s">
        <v>1201</v>
      </c>
      <c r="D20" s="111"/>
      <c r="E20" s="111"/>
      <c r="F20" s="111">
        <v>366.71</v>
      </c>
    </row>
    <row r="21" spans="1:6">
      <c r="A21" s="116"/>
      <c r="B21" s="120"/>
      <c r="C21" s="111"/>
      <c r="D21" s="111"/>
      <c r="E21" s="111"/>
      <c r="F21" s="111"/>
    </row>
    <row r="22" spans="1:6">
      <c r="A22" s="116" t="s">
        <v>1197</v>
      </c>
      <c r="B22" s="120" t="s">
        <v>1202</v>
      </c>
      <c r="C22" s="111" t="s">
        <v>1204</v>
      </c>
      <c r="D22" s="111"/>
      <c r="E22" s="111"/>
      <c r="F22" s="111">
        <v>234.7</v>
      </c>
    </row>
    <row r="23" spans="1:6">
      <c r="A23" s="116"/>
      <c r="B23" s="120"/>
      <c r="C23" s="111"/>
      <c r="D23" s="111"/>
      <c r="E23" s="111"/>
      <c r="F23" s="111"/>
    </row>
    <row r="24" spans="1:6">
      <c r="A24" s="116" t="s">
        <v>1205</v>
      </c>
      <c r="B24" s="120" t="s">
        <v>1203</v>
      </c>
      <c r="C24" s="111" t="s">
        <v>1208</v>
      </c>
      <c r="D24" s="111"/>
      <c r="E24" s="111"/>
      <c r="F24" s="111">
        <v>439.66</v>
      </c>
    </row>
    <row r="25" spans="1:6">
      <c r="A25" s="116"/>
      <c r="B25" s="120"/>
      <c r="C25" s="111"/>
      <c r="D25" s="111"/>
      <c r="E25" s="111"/>
      <c r="F25" s="111"/>
    </row>
    <row r="26" spans="1:6">
      <c r="A26" s="116" t="s">
        <v>1205</v>
      </c>
      <c r="B26" s="120" t="s">
        <v>1206</v>
      </c>
      <c r="C26" s="111" t="s">
        <v>1207</v>
      </c>
      <c r="D26" s="111"/>
      <c r="E26" s="111"/>
      <c r="F26" s="111">
        <v>549.57000000000005</v>
      </c>
    </row>
    <row r="27" spans="1:6">
      <c r="A27" s="116"/>
      <c r="B27" s="120"/>
      <c r="C27" s="111"/>
      <c r="D27" s="111"/>
      <c r="E27" s="111"/>
      <c r="F27" s="111"/>
    </row>
    <row r="28" spans="1:6">
      <c r="A28" s="116" t="s">
        <v>1205</v>
      </c>
      <c r="B28" s="120" t="s">
        <v>1209</v>
      </c>
      <c r="C28" s="111" t="s">
        <v>1210</v>
      </c>
      <c r="D28" s="111"/>
      <c r="E28" s="111"/>
      <c r="F28" s="111">
        <v>301.07</v>
      </c>
    </row>
    <row r="29" spans="1:6">
      <c r="A29" s="116"/>
      <c r="B29" s="120"/>
      <c r="C29" s="111"/>
      <c r="D29" s="111"/>
      <c r="E29" s="111"/>
      <c r="F29" s="111"/>
    </row>
    <row r="30" spans="1:6">
      <c r="A30" s="116"/>
      <c r="B30" s="120"/>
      <c r="C30" s="111"/>
      <c r="D30" s="111"/>
      <c r="E30" s="111"/>
      <c r="F30" s="111"/>
    </row>
    <row r="31" spans="1:6">
      <c r="A31" s="116"/>
      <c r="B31" s="120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1891.7099999999998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118" t="s">
        <v>1211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B42" s="111"/>
      <c r="C42" s="111"/>
      <c r="D42" s="111"/>
      <c r="E42" s="111"/>
      <c r="F42" s="111"/>
    </row>
    <row r="43" spans="1:6">
      <c r="A43" s="123" t="s">
        <v>8</v>
      </c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1-000000000000}">
  <sheetPr codeName="Sheet97">
    <pageSetUpPr fitToPage="1"/>
  </sheetPr>
  <dimension ref="A1:F56"/>
  <sheetViews>
    <sheetView zoomScaleSheetLayoutView="100" workbookViewId="0">
      <selection activeCell="G9" sqref="G9:G13"/>
    </sheetView>
  </sheetViews>
  <sheetFormatPr defaultRowHeight="12.75"/>
  <cols>
    <col min="1" max="1" width="15.85546875" style="50" customWidth="1"/>
    <col min="2" max="2" width="15" style="50" customWidth="1"/>
    <col min="3" max="3" width="23" style="50" customWidth="1"/>
    <col min="4" max="4" width="12" style="50" customWidth="1"/>
    <col min="5" max="5" width="8.7109375" style="50" customWidth="1"/>
    <col min="6" max="6" width="12.7109375" style="50" customWidth="1"/>
    <col min="7" max="16384" width="9.140625" style="50"/>
  </cols>
  <sheetData>
    <row r="1" spans="1:6" s="111" customFormat="1" ht="15">
      <c r="A1" s="528" t="s">
        <v>26</v>
      </c>
      <c r="B1" s="528"/>
      <c r="C1" s="528"/>
      <c r="D1" s="528"/>
      <c r="E1" s="528"/>
      <c r="F1" s="528"/>
    </row>
    <row r="2" spans="1:6" s="111" customFormat="1" ht="15">
      <c r="A2" s="528" t="s">
        <v>25</v>
      </c>
      <c r="B2" s="528"/>
      <c r="C2" s="528"/>
      <c r="D2" s="528"/>
      <c r="E2" s="528"/>
      <c r="F2" s="528"/>
    </row>
    <row r="3" spans="1:6" s="111" customFormat="1" ht="15">
      <c r="A3" s="528" t="s">
        <v>1480</v>
      </c>
      <c r="B3" s="528"/>
      <c r="C3" s="528"/>
      <c r="D3" s="528"/>
      <c r="E3" s="528"/>
      <c r="F3" s="528"/>
    </row>
    <row r="4" spans="1:6" s="111" customFormat="1" ht="15">
      <c r="A4" s="528" t="s">
        <v>1481</v>
      </c>
      <c r="B4" s="528"/>
      <c r="C4" s="528"/>
      <c r="D4" s="528"/>
      <c r="E4" s="528"/>
      <c r="F4" s="528"/>
    </row>
    <row r="5" spans="1:6" s="111" customFormat="1"/>
    <row r="6" spans="1:6" s="111" customFormat="1"/>
    <row r="7" spans="1:6" s="111" customFormat="1"/>
    <row r="8" spans="1:6" s="111" customFormat="1">
      <c r="A8" s="111" t="s">
        <v>24</v>
      </c>
      <c r="D8" s="22" t="s">
        <v>23</v>
      </c>
    </row>
    <row r="9" spans="1:6" s="111" customFormat="1">
      <c r="D9" s="112" t="s">
        <v>1123</v>
      </c>
      <c r="E9" s="111" t="s">
        <v>1289</v>
      </c>
    </row>
    <row r="10" spans="1:6" s="111" customFormat="1">
      <c r="A10" s="111" t="s">
        <v>1146</v>
      </c>
      <c r="D10" s="112" t="s">
        <v>1124</v>
      </c>
      <c r="E10" s="166" t="s">
        <v>1288</v>
      </c>
    </row>
    <row r="11" spans="1:6" s="111" customFormat="1">
      <c r="A11" s="111" t="s">
        <v>1147</v>
      </c>
      <c r="D11" s="112" t="s">
        <v>1125</v>
      </c>
      <c r="E11" s="112" t="s">
        <v>1094</v>
      </c>
    </row>
    <row r="12" spans="1:6" s="111" customFormat="1">
      <c r="A12" s="111" t="s">
        <v>1148</v>
      </c>
      <c r="D12" s="112" t="s">
        <v>1126</v>
      </c>
      <c r="E12" s="112" t="s">
        <v>1290</v>
      </c>
    </row>
    <row r="13" spans="1:6" s="111" customFormat="1">
      <c r="A13" s="111" t="s">
        <v>1149</v>
      </c>
      <c r="D13" s="112"/>
      <c r="E13" s="112"/>
    </row>
    <row r="14" spans="1:6" s="111" customFormat="1">
      <c r="A14" s="111" t="s">
        <v>1150</v>
      </c>
    </row>
    <row r="15" spans="1:6" s="111" customFormat="1"/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 s="111" customFormat="1"/>
    <row r="18" spans="1:6" s="111" customFormat="1"/>
    <row r="19" spans="1:6" s="111" customFormat="1">
      <c r="B19" s="121"/>
      <c r="C19" s="2" t="s">
        <v>1291</v>
      </c>
    </row>
    <row r="20" spans="1:6" s="111" customFormat="1">
      <c r="B20" s="121"/>
    </row>
    <row r="21" spans="1:6" s="111" customFormat="1">
      <c r="A21" s="161" t="s">
        <v>1259</v>
      </c>
      <c r="B21" s="121" t="s">
        <v>1292</v>
      </c>
      <c r="C21" s="111" t="s">
        <v>1293</v>
      </c>
      <c r="F21" s="111">
        <f>828*3</f>
        <v>2484</v>
      </c>
    </row>
    <row r="22" spans="1:6" s="111" customFormat="1">
      <c r="A22" s="161" t="s">
        <v>1259</v>
      </c>
      <c r="B22" s="121" t="s">
        <v>1320</v>
      </c>
      <c r="C22" s="111" t="s">
        <v>1294</v>
      </c>
      <c r="F22" s="111">
        <f>36*3</f>
        <v>108</v>
      </c>
    </row>
    <row r="23" spans="1:6" s="111" customFormat="1">
      <c r="B23" s="116"/>
      <c r="C23" s="111" t="s">
        <v>1295</v>
      </c>
      <c r="F23" s="111">
        <f>10*3</f>
        <v>30</v>
      </c>
    </row>
    <row r="24" spans="1:6" s="111" customFormat="1">
      <c r="B24" s="116"/>
    </row>
    <row r="25" spans="1:6" s="111" customFormat="1">
      <c r="B25" s="121"/>
      <c r="C25" s="2" t="s">
        <v>1299</v>
      </c>
    </row>
    <row r="26" spans="1:6" s="111" customFormat="1"/>
    <row r="27" spans="1:6" s="111" customFormat="1">
      <c r="A27" s="161" t="s">
        <v>1259</v>
      </c>
      <c r="B27" s="121" t="s">
        <v>1296</v>
      </c>
      <c r="C27" s="111" t="s">
        <v>1298</v>
      </c>
      <c r="F27" s="111">
        <v>453</v>
      </c>
    </row>
    <row r="28" spans="1:6" s="111" customFormat="1">
      <c r="C28" s="111" t="s">
        <v>1297</v>
      </c>
      <c r="F28" s="111">
        <v>60</v>
      </c>
    </row>
    <row r="29" spans="1:6" s="111" customFormat="1">
      <c r="B29" s="116"/>
    </row>
    <row r="30" spans="1:6" s="111" customFormat="1">
      <c r="B30" s="116"/>
    </row>
    <row r="31" spans="1:6" s="111" customFormat="1">
      <c r="B31" s="120"/>
    </row>
    <row r="32" spans="1:6" s="111" customFormat="1">
      <c r="B32" s="120"/>
    </row>
    <row r="33" spans="1:6" s="111" customFormat="1" ht="13.5" thickBot="1">
      <c r="B33" s="120"/>
      <c r="F33" s="117">
        <f>SUM(F20:F32)</f>
        <v>3135</v>
      </c>
    </row>
    <row r="34" spans="1:6" s="111" customFormat="1" ht="14.25" thickTop="1" thickBot="1">
      <c r="F34" s="127">
        <f>SUM(F20:F33)</f>
        <v>6270</v>
      </c>
    </row>
    <row r="35" spans="1:6" s="111" customFormat="1" ht="13.5" thickTop="1"/>
    <row r="36" spans="1:6" s="111" customFormat="1" ht="20.100000000000001" customHeight="1">
      <c r="A36" s="118" t="s">
        <v>204</v>
      </c>
      <c r="B36" s="118" t="s">
        <v>1300</v>
      </c>
      <c r="C36" s="128"/>
      <c r="D36" s="119"/>
      <c r="E36" s="119"/>
      <c r="F36" s="119"/>
    </row>
    <row r="37" spans="1:6" s="111" customFormat="1">
      <c r="A37" s="120" t="s">
        <v>11</v>
      </c>
    </row>
    <row r="38" spans="1:6" s="111" customFormat="1">
      <c r="A38" s="111" t="s">
        <v>10</v>
      </c>
    </row>
    <row r="39" spans="1:6" s="111" customFormat="1" ht="25.5">
      <c r="A39" s="126"/>
      <c r="D39" s="265" t="s">
        <v>2894</v>
      </c>
      <c r="E39" s="266"/>
      <c r="F39" s="267"/>
    </row>
    <row r="40" spans="1:6" s="111" customFormat="1"/>
    <row r="41" spans="1:6">
      <c r="C41" s="78"/>
    </row>
    <row r="42" spans="1:6">
      <c r="A42" s="130"/>
      <c r="B42" s="130"/>
    </row>
    <row r="43" spans="1:6">
      <c r="D43" s="111"/>
      <c r="E43" s="111"/>
      <c r="F43" s="111"/>
    </row>
    <row r="44" spans="1:6">
      <c r="A44" s="77" t="s">
        <v>8</v>
      </c>
      <c r="D44" s="123" t="s">
        <v>7</v>
      </c>
      <c r="E44" s="111"/>
      <c r="F44" s="124"/>
    </row>
    <row r="45" spans="1:6">
      <c r="D45" s="111"/>
      <c r="E45" s="111"/>
      <c r="F45" s="111"/>
    </row>
    <row r="46" spans="1:6">
      <c r="D46" s="111"/>
      <c r="E46" s="111"/>
      <c r="F46" s="111"/>
    </row>
    <row r="47" spans="1:6">
      <c r="D47" s="111"/>
      <c r="E47" s="111"/>
      <c r="F47" s="111"/>
    </row>
    <row r="48" spans="1:6">
      <c r="A48" s="130"/>
      <c r="B48" s="130"/>
      <c r="D48" s="122"/>
      <c r="E48" s="122"/>
      <c r="F48" s="122"/>
    </row>
    <row r="49" spans="1:6" s="29" customFormat="1" ht="17.100000000000001" customHeight="1">
      <c r="A49" s="76" t="s">
        <v>4</v>
      </c>
      <c r="B49" s="76"/>
      <c r="D49" s="126" t="s">
        <v>3</v>
      </c>
      <c r="E49" s="126"/>
      <c r="F49" s="126"/>
    </row>
    <row r="50" spans="1:6">
      <c r="A50" s="276" t="s">
        <v>2948</v>
      </c>
      <c r="D50" s="111" t="s">
        <v>2</v>
      </c>
      <c r="E50" s="111"/>
      <c r="F50" s="111"/>
    </row>
    <row r="51" spans="1:6">
      <c r="D51" s="111"/>
      <c r="E51" s="111"/>
      <c r="F51" s="111"/>
    </row>
    <row r="52" spans="1:6">
      <c r="D52" s="2" t="s">
        <v>1</v>
      </c>
      <c r="E52" s="111"/>
      <c r="F52" s="111"/>
    </row>
    <row r="53" spans="1:6">
      <c r="D53" s="2" t="s">
        <v>0</v>
      </c>
      <c r="E53" s="111"/>
      <c r="F53" s="111"/>
    </row>
    <row r="54" spans="1:6">
      <c r="D54" s="111"/>
      <c r="E54" s="111"/>
      <c r="F54" s="111"/>
    </row>
    <row r="55" spans="1:6">
      <c r="D55" s="111"/>
      <c r="E55" s="111"/>
      <c r="F55" s="111"/>
    </row>
    <row r="56" spans="1:6">
      <c r="D56" s="111"/>
      <c r="E56" s="111"/>
      <c r="F56" s="111"/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1-000000000000}">
  <sheetPr codeName="Sheet98">
    <pageSetUpPr fitToPage="1"/>
  </sheetPr>
  <dimension ref="A1:F60"/>
  <sheetViews>
    <sheetView workbookViewId="0">
      <selection activeCell="G9" sqref="G9:G13"/>
    </sheetView>
  </sheetViews>
  <sheetFormatPr defaultRowHeight="16.5"/>
  <cols>
    <col min="1" max="1" width="27.42578125" style="23" customWidth="1"/>
    <col min="2" max="2" width="4.5703125" style="23" customWidth="1"/>
    <col min="3" max="3" width="21.7109375" style="23" customWidth="1"/>
    <col min="4" max="4" width="10.85546875" style="23" customWidth="1"/>
    <col min="5" max="5" width="9.140625" style="23"/>
    <col min="6" max="6" width="20.5703125" style="23" customWidth="1"/>
    <col min="7" max="16384" width="9.140625" style="23"/>
  </cols>
  <sheetData>
    <row r="1" spans="1:6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7" spans="1:6">
      <c r="A7" s="13" t="s">
        <v>24</v>
      </c>
      <c r="B7" s="13"/>
      <c r="C7" s="13"/>
      <c r="D7" s="55" t="s">
        <v>23</v>
      </c>
      <c r="E7" s="13"/>
      <c r="F7" s="13"/>
    </row>
    <row r="8" spans="1:6">
      <c r="A8" s="13"/>
      <c r="B8" s="13"/>
      <c r="C8" s="13"/>
      <c r="D8" s="20" t="s">
        <v>22</v>
      </c>
      <c r="E8" s="13" t="s">
        <v>735</v>
      </c>
      <c r="F8" s="13"/>
    </row>
    <row r="9" spans="1:6">
      <c r="A9" s="13" t="s">
        <v>734</v>
      </c>
      <c r="B9" s="13"/>
      <c r="C9" s="13"/>
      <c r="D9" s="20" t="s">
        <v>21</v>
      </c>
      <c r="E9" s="20" t="s">
        <v>733</v>
      </c>
      <c r="F9" s="13"/>
    </row>
    <row r="10" spans="1:6">
      <c r="A10" s="13" t="s">
        <v>732</v>
      </c>
      <c r="B10" s="13"/>
      <c r="C10" s="13"/>
      <c r="D10" s="20" t="s">
        <v>19</v>
      </c>
      <c r="E10" s="20" t="s">
        <v>18</v>
      </c>
      <c r="F10" s="13"/>
    </row>
    <row r="11" spans="1:6">
      <c r="A11" s="13" t="s">
        <v>28</v>
      </c>
      <c r="B11" s="13"/>
      <c r="C11" s="13"/>
      <c r="D11" s="20" t="s">
        <v>17</v>
      </c>
      <c r="E11" s="20" t="s">
        <v>731</v>
      </c>
      <c r="F11" s="13"/>
    </row>
    <row r="12" spans="1:6">
      <c r="A12" s="13" t="s">
        <v>730</v>
      </c>
      <c r="B12" s="13"/>
      <c r="C12" s="13"/>
      <c r="D12" s="13"/>
      <c r="E12" s="13"/>
      <c r="F12" s="13"/>
    </row>
    <row r="15" spans="1:6" s="32" customFormat="1" ht="20.100000000000001" customHeight="1">
      <c r="A15" s="73" t="s">
        <v>15</v>
      </c>
      <c r="B15" s="73"/>
      <c r="C15" s="74" t="s">
        <v>14</v>
      </c>
      <c r="D15" s="73"/>
      <c r="E15" s="72"/>
      <c r="F15" s="71" t="s">
        <v>13</v>
      </c>
    </row>
    <row r="16" spans="1:6" s="32" customFormat="1">
      <c r="A16" s="81"/>
      <c r="B16" s="81"/>
      <c r="C16" s="82"/>
      <c r="D16" s="81"/>
      <c r="E16" s="80"/>
      <c r="F16" s="79"/>
    </row>
    <row r="17" spans="1:6" ht="13.5" customHeight="1"/>
    <row r="18" spans="1:6">
      <c r="A18" s="13"/>
      <c r="B18" s="13"/>
      <c r="C18" s="14" t="s">
        <v>729</v>
      </c>
      <c r="D18" s="13"/>
      <c r="E18" s="13"/>
      <c r="F18" s="13"/>
    </row>
    <row r="19" spans="1:6">
      <c r="A19" s="13"/>
      <c r="B19" s="13"/>
      <c r="C19" s="13"/>
      <c r="D19" s="13"/>
      <c r="E19" s="13"/>
      <c r="F19" s="13"/>
    </row>
    <row r="20" spans="1:6">
      <c r="A20" s="13" t="s">
        <v>728</v>
      </c>
      <c r="B20" s="13"/>
      <c r="C20" s="13" t="s">
        <v>727</v>
      </c>
      <c r="D20" s="13"/>
      <c r="E20" s="13"/>
      <c r="F20" s="13">
        <v>6000</v>
      </c>
    </row>
    <row r="21" spans="1:6">
      <c r="A21" s="13"/>
      <c r="B21" s="13"/>
      <c r="C21" s="13" t="s">
        <v>726</v>
      </c>
      <c r="D21" s="13"/>
      <c r="E21" s="13"/>
      <c r="F21" s="13"/>
    </row>
    <row r="22" spans="1:6">
      <c r="A22" s="13"/>
      <c r="B22" s="13"/>
      <c r="C22" s="13" t="s">
        <v>725</v>
      </c>
      <c r="D22" s="13"/>
      <c r="E22" s="13"/>
      <c r="F22" s="13"/>
    </row>
    <row r="23" spans="1:6">
      <c r="A23" s="13"/>
      <c r="B23" s="13"/>
      <c r="C23" s="13" t="s">
        <v>724</v>
      </c>
      <c r="D23" s="13"/>
      <c r="E23" s="13"/>
      <c r="F23" s="13"/>
    </row>
    <row r="24" spans="1:6">
      <c r="A24" s="13"/>
      <c r="B24" s="13"/>
      <c r="C24" s="13"/>
      <c r="D24" s="13"/>
      <c r="E24" s="13"/>
      <c r="F24" s="13"/>
    </row>
    <row r="25" spans="1:6">
      <c r="A25" s="13"/>
      <c r="B25" s="13"/>
      <c r="C25" s="13"/>
      <c r="D25" s="13"/>
      <c r="E25" s="13"/>
      <c r="F25" s="13"/>
    </row>
    <row r="26" spans="1:6">
      <c r="A26" s="13"/>
      <c r="B26" s="13"/>
      <c r="C26" s="13"/>
      <c r="D26" s="13"/>
      <c r="E26" s="13"/>
      <c r="F26" s="13"/>
    </row>
    <row r="27" spans="1:6">
      <c r="A27" s="13"/>
      <c r="B27" s="13"/>
      <c r="C27" s="13"/>
      <c r="D27" s="13"/>
      <c r="E27" s="13"/>
      <c r="F27" s="13"/>
    </row>
    <row r="28" spans="1:6">
      <c r="A28" s="13"/>
      <c r="B28" s="13"/>
      <c r="C28" s="13"/>
      <c r="D28" s="13"/>
      <c r="E28" s="13"/>
      <c r="F28" s="13"/>
    </row>
    <row r="29" spans="1:6">
      <c r="A29" s="13"/>
      <c r="B29" s="13"/>
      <c r="C29" s="13"/>
      <c r="D29" s="13"/>
      <c r="E29" s="13"/>
      <c r="F29" s="13"/>
    </row>
    <row r="30" spans="1:6" ht="17.25" thickBot="1">
      <c r="A30" s="13"/>
      <c r="B30" s="13"/>
      <c r="C30" s="13"/>
      <c r="D30" s="13"/>
      <c r="E30" s="13"/>
      <c r="F30" s="28">
        <f>SUM(F20:F29)</f>
        <v>6000</v>
      </c>
    </row>
    <row r="31" spans="1:6" ht="17.25" thickTop="1">
      <c r="A31" s="13"/>
      <c r="B31" s="13"/>
      <c r="C31" s="13"/>
      <c r="D31" s="13"/>
      <c r="E31" s="13"/>
      <c r="F31" s="13"/>
    </row>
    <row r="32" spans="1:6" ht="20.100000000000001" customHeight="1">
      <c r="A32" s="49" t="s">
        <v>723</v>
      </c>
      <c r="B32" s="11"/>
      <c r="C32" s="48"/>
      <c r="D32" s="48"/>
      <c r="E32" s="48"/>
    </row>
    <row r="33" spans="1:6" ht="17.25" thickBot="1">
      <c r="A33" s="34"/>
      <c r="B33" s="13"/>
      <c r="C33" s="13"/>
      <c r="D33" s="13"/>
      <c r="E33" s="13"/>
      <c r="F33" s="258">
        <f>SUM(F20:F32)</f>
        <v>12000</v>
      </c>
    </row>
    <row r="34" spans="1:6" ht="17.25" thickTop="1">
      <c r="A34" s="13" t="s">
        <v>10</v>
      </c>
      <c r="B34" s="13"/>
      <c r="C34" s="13"/>
      <c r="D34" s="13"/>
      <c r="E34" s="13"/>
      <c r="F34" s="13"/>
    </row>
    <row r="35" spans="1:6">
      <c r="A35" s="13"/>
      <c r="B35" s="13"/>
      <c r="C35" s="13"/>
      <c r="D35" s="13"/>
      <c r="E35" s="13"/>
      <c r="F35" s="13"/>
    </row>
    <row r="36" spans="1:6">
      <c r="A36" s="13"/>
      <c r="B36" s="13"/>
      <c r="C36" s="13"/>
      <c r="D36" s="13"/>
      <c r="E36" s="13"/>
      <c r="F36" s="13"/>
    </row>
    <row r="37" spans="1:6">
      <c r="A37" s="13" t="s">
        <v>9</v>
      </c>
      <c r="B37" s="13"/>
      <c r="C37" s="47"/>
      <c r="D37" s="13"/>
      <c r="E37" s="13"/>
      <c r="F37" s="13"/>
    </row>
    <row r="38" spans="1:6">
      <c r="A38" s="13"/>
      <c r="B38" s="13"/>
      <c r="C38" s="13"/>
      <c r="D38" s="13"/>
      <c r="E38" s="13"/>
      <c r="F38" s="13"/>
    </row>
    <row r="39" spans="1:6" ht="25.5">
      <c r="A39" s="30"/>
      <c r="B39" s="13"/>
      <c r="C39" s="13"/>
      <c r="D39" s="265" t="s">
        <v>2894</v>
      </c>
      <c r="E39" s="266"/>
      <c r="F39" s="267"/>
    </row>
    <row r="40" spans="1:6">
      <c r="A40" s="31" t="s">
        <v>8</v>
      </c>
      <c r="B40" s="13"/>
      <c r="C40" s="13"/>
      <c r="D40" s="31" t="s">
        <v>7</v>
      </c>
      <c r="E40" s="13"/>
      <c r="F40" s="46"/>
    </row>
    <row r="41" spans="1:6">
      <c r="A41" s="13"/>
      <c r="B41" s="13"/>
      <c r="C41" s="13"/>
      <c r="D41" s="13"/>
      <c r="E41" s="13"/>
      <c r="F41" s="13"/>
    </row>
    <row r="42" spans="1:6">
      <c r="A42" s="13"/>
      <c r="B42" s="13"/>
      <c r="C42" s="13"/>
      <c r="D42" s="13"/>
      <c r="E42" s="13"/>
      <c r="F42" s="13"/>
    </row>
    <row r="43" spans="1:6">
      <c r="A43" s="13"/>
      <c r="B43" s="13"/>
      <c r="C43" s="13"/>
      <c r="D43" s="13"/>
      <c r="E43" s="13"/>
      <c r="F43" s="13"/>
    </row>
    <row r="44" spans="1:6">
      <c r="A44" s="13" t="s">
        <v>6</v>
      </c>
      <c r="B44" s="13"/>
      <c r="C44" s="13"/>
      <c r="D44" s="13" t="s">
        <v>5</v>
      </c>
      <c r="E44" s="13"/>
      <c r="F44" s="13"/>
    </row>
    <row r="45" spans="1:6" s="24" customFormat="1" ht="17.100000000000001" customHeight="1">
      <c r="A45" s="45" t="s">
        <v>4</v>
      </c>
      <c r="B45" s="45"/>
      <c r="C45" s="30"/>
      <c r="D45" s="30" t="s">
        <v>3</v>
      </c>
      <c r="E45" s="30"/>
      <c r="F45" s="30"/>
    </row>
    <row r="46" spans="1:6">
      <c r="A46" s="13"/>
      <c r="B46" s="13"/>
      <c r="C46" s="13"/>
      <c r="D46" s="13" t="s">
        <v>2</v>
      </c>
      <c r="E46" s="13"/>
      <c r="F46" s="13"/>
    </row>
    <row r="47" spans="1:6">
      <c r="A47" s="13"/>
      <c r="B47" s="13"/>
      <c r="C47" s="13"/>
      <c r="D47" s="13"/>
      <c r="E47" s="13"/>
      <c r="F47" s="13"/>
    </row>
    <row r="48" spans="1:6">
      <c r="A48" s="13"/>
      <c r="B48" s="13"/>
      <c r="C48" s="13"/>
      <c r="D48" s="14" t="s">
        <v>1</v>
      </c>
      <c r="E48" s="13"/>
      <c r="F48" s="13"/>
    </row>
    <row r="49" spans="1:6">
      <c r="A49" s="13"/>
      <c r="B49" s="13"/>
      <c r="C49" s="13"/>
      <c r="D49" s="14" t="s">
        <v>0</v>
      </c>
      <c r="E49" s="13"/>
      <c r="F49" s="13"/>
    </row>
    <row r="50" spans="1:6">
      <c r="A50" s="275" t="s">
        <v>2948</v>
      </c>
      <c r="B50" s="13"/>
      <c r="C50" s="13"/>
      <c r="D50" s="13"/>
      <c r="E50" s="13"/>
      <c r="F50" s="13"/>
    </row>
    <row r="51" spans="1:6">
      <c r="A51" s="13"/>
      <c r="B51" s="13"/>
      <c r="C51" s="13"/>
      <c r="D51" s="13"/>
      <c r="E51" s="13"/>
      <c r="F51" s="13"/>
    </row>
    <row r="52" spans="1:6">
      <c r="A52" s="13"/>
      <c r="B52" s="13"/>
      <c r="C52" s="13"/>
      <c r="D52" s="13"/>
      <c r="E52" s="13"/>
      <c r="F52" s="13"/>
    </row>
    <row r="53" spans="1:6">
      <c r="A53" s="13"/>
      <c r="B53" s="13"/>
      <c r="C53" s="13"/>
      <c r="D53" s="13"/>
      <c r="E53" s="13"/>
      <c r="F53" s="13"/>
    </row>
    <row r="54" spans="1:6">
      <c r="A54" s="13"/>
      <c r="B54" s="13"/>
      <c r="C54" s="13"/>
      <c r="D54" s="13"/>
      <c r="E54" s="13"/>
      <c r="F54" s="13"/>
    </row>
    <row r="55" spans="1:6">
      <c r="A55" s="13"/>
      <c r="B55" s="13"/>
      <c r="C55" s="13"/>
      <c r="D55" s="13"/>
      <c r="E55" s="13"/>
      <c r="F55" s="13"/>
    </row>
    <row r="56" spans="1:6">
      <c r="A56" s="13"/>
      <c r="B56" s="13"/>
      <c r="C56" s="13"/>
      <c r="D56" s="13"/>
      <c r="E56" s="13"/>
      <c r="F56" s="13"/>
    </row>
    <row r="57" spans="1:6">
      <c r="A57" s="13"/>
      <c r="B57" s="13"/>
      <c r="C57" s="13"/>
      <c r="D57" s="13"/>
      <c r="E57" s="13"/>
      <c r="F57" s="13"/>
    </row>
    <row r="58" spans="1:6">
      <c r="A58" s="13"/>
      <c r="B58" s="13"/>
      <c r="C58" s="13"/>
      <c r="D58" s="13"/>
      <c r="E58" s="13"/>
      <c r="F58" s="13"/>
    </row>
    <row r="59" spans="1:6">
      <c r="A59" s="13"/>
      <c r="B59" s="13"/>
      <c r="C59" s="13"/>
      <c r="D59" s="13"/>
      <c r="E59" s="13"/>
      <c r="F59" s="13"/>
    </row>
    <row r="60" spans="1:6">
      <c r="A60" s="13"/>
      <c r="B60" s="13"/>
      <c r="C60" s="13"/>
      <c r="D60" s="13"/>
      <c r="E60" s="13"/>
      <c r="F60" s="13"/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5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1-000000000000}">
  <sheetPr codeName="Sheet99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748</v>
      </c>
    </row>
    <row r="10" spans="1:6">
      <c r="A10" s="1" t="s">
        <v>747</v>
      </c>
      <c r="D10" s="21" t="s">
        <v>21</v>
      </c>
      <c r="E10" s="21" t="s">
        <v>746</v>
      </c>
    </row>
    <row r="11" spans="1:6">
      <c r="A11" s="1" t="s">
        <v>745</v>
      </c>
      <c r="D11" s="21" t="s">
        <v>19</v>
      </c>
      <c r="E11" s="21" t="s">
        <v>18</v>
      </c>
    </row>
    <row r="12" spans="1:6">
      <c r="A12" s="1" t="s">
        <v>744</v>
      </c>
      <c r="D12" s="21" t="s">
        <v>17</v>
      </c>
      <c r="E12" s="21" t="s">
        <v>743</v>
      </c>
    </row>
    <row r="13" spans="1:6">
      <c r="A13" s="1" t="s">
        <v>742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741</v>
      </c>
    </row>
    <row r="20" spans="1:6">
      <c r="C20" s="14" t="s">
        <v>740</v>
      </c>
    </row>
    <row r="22" spans="1:6">
      <c r="B22" s="8"/>
    </row>
    <row r="23" spans="1:6">
      <c r="A23" s="1" t="s">
        <v>739</v>
      </c>
      <c r="C23" s="1" t="s">
        <v>738</v>
      </c>
      <c r="F23" s="1">
        <v>15000</v>
      </c>
    </row>
    <row r="24" spans="1:6">
      <c r="B24" s="8"/>
      <c r="C24" s="1" t="s">
        <v>30</v>
      </c>
      <c r="F24" s="1">
        <v>250</v>
      </c>
    </row>
    <row r="25" spans="1:6">
      <c r="B25" s="8"/>
      <c r="C25" s="83" t="s">
        <v>737</v>
      </c>
      <c r="F25" s="1">
        <v>1800</v>
      </c>
    </row>
    <row r="26" spans="1:6">
      <c r="C26" s="8"/>
    </row>
    <row r="27" spans="1:6">
      <c r="B27" s="8"/>
    </row>
    <row r="28" spans="1:6">
      <c r="B28" s="8"/>
    </row>
    <row r="33" spans="1:6" ht="13.5" thickBot="1">
      <c r="F33" s="12">
        <f>SUM(F20:F32)</f>
        <v>17050</v>
      </c>
    </row>
    <row r="34" spans="1:6" ht="13.5" thickTop="1"/>
    <row r="35" spans="1:6" ht="20.100000000000001" customHeight="1">
      <c r="A35" s="10" t="s">
        <v>736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1-000000000000}">
  <sheetPr codeName="Sheet109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1052</v>
      </c>
    </row>
    <row r="10" spans="1:6">
      <c r="A10" s="1" t="s">
        <v>1051</v>
      </c>
      <c r="D10" s="21" t="s">
        <v>21</v>
      </c>
      <c r="E10" s="21" t="s">
        <v>163</v>
      </c>
    </row>
    <row r="11" spans="1:6">
      <c r="A11" s="1" t="s">
        <v>1050</v>
      </c>
      <c r="D11" s="21" t="s">
        <v>19</v>
      </c>
      <c r="E11" s="21" t="s">
        <v>18</v>
      </c>
    </row>
    <row r="12" spans="1:6">
      <c r="A12" s="1" t="s">
        <v>878</v>
      </c>
      <c r="D12" s="21" t="s">
        <v>17</v>
      </c>
      <c r="E12" s="20" t="s">
        <v>1049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20" spans="2:6">
      <c r="C20" s="13"/>
    </row>
    <row r="21" spans="2:6">
      <c r="C21" s="13"/>
    </row>
    <row r="22" spans="2:6">
      <c r="C22" s="1" t="s">
        <v>1048</v>
      </c>
      <c r="F22" s="1">
        <v>437.5</v>
      </c>
    </row>
    <row r="23" spans="2:6">
      <c r="C23" s="1" t="s">
        <v>1047</v>
      </c>
    </row>
    <row r="24" spans="2:6">
      <c r="C24" s="1" t="s">
        <v>1046</v>
      </c>
    </row>
    <row r="26" spans="2:6">
      <c r="C26" s="13"/>
    </row>
    <row r="27" spans="2:6">
      <c r="C27" s="13"/>
    </row>
    <row r="29" spans="2:6">
      <c r="B29" s="8"/>
    </row>
    <row r="30" spans="2:6">
      <c r="B30" s="8"/>
    </row>
    <row r="31" spans="2:6">
      <c r="B31" s="8"/>
    </row>
    <row r="33" spans="1:6" ht="13.5" thickBot="1">
      <c r="F33" s="12">
        <f>SUM(F20:F32)</f>
        <v>437.5</v>
      </c>
    </row>
    <row r="34" spans="1:6" ht="13.5" thickTop="1"/>
    <row r="35" spans="1:6" ht="20.100000000000001" customHeight="1">
      <c r="A35" s="10" t="s">
        <v>1045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1-000000000000}">
  <sheetPr codeName="Sheet488">
    <pageSetUpPr fitToPage="1"/>
  </sheetPr>
  <dimension ref="A1:H56"/>
  <sheetViews>
    <sheetView zoomScaleNormal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" style="1" customWidth="1"/>
    <col min="4" max="4" width="28.42578125" style="1" customWidth="1"/>
    <col min="5" max="5" width="0.71093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11" t="s">
        <v>4781</v>
      </c>
      <c r="H9" s="111"/>
    </row>
    <row r="10" spans="1:8">
      <c r="A10" s="111" t="s">
        <v>4783</v>
      </c>
      <c r="B10" s="111"/>
      <c r="C10" s="111"/>
      <c r="D10" s="111"/>
      <c r="E10" s="111"/>
      <c r="F10" s="112" t="s">
        <v>1162</v>
      </c>
      <c r="G10" s="111" t="s">
        <v>4782</v>
      </c>
      <c r="H10" s="111"/>
    </row>
    <row r="11" spans="1:8">
      <c r="A11" s="111" t="s">
        <v>4784</v>
      </c>
      <c r="B11" s="111"/>
      <c r="C11" s="111"/>
      <c r="D11" s="111"/>
      <c r="E11" s="111"/>
      <c r="F11" s="112" t="s">
        <v>1163</v>
      </c>
      <c r="G11" s="111" t="s">
        <v>1094</v>
      </c>
      <c r="H11" s="111"/>
    </row>
    <row r="12" spans="1:8">
      <c r="A12" s="111" t="s">
        <v>4785</v>
      </c>
      <c r="B12" s="111"/>
      <c r="C12" s="111"/>
      <c r="D12" s="111"/>
      <c r="E12" s="111"/>
      <c r="F12" s="112" t="s">
        <v>1135</v>
      </c>
      <c r="G12" s="120" t="s">
        <v>1270</v>
      </c>
      <c r="H12" s="111"/>
    </row>
    <row r="13" spans="1:8">
      <c r="A13" s="111" t="s">
        <v>4786</v>
      </c>
      <c r="B13" s="111"/>
      <c r="C13" s="111"/>
      <c r="D13" s="111"/>
      <c r="E13" s="111"/>
      <c r="F13" s="111"/>
      <c r="G13" s="13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2" t="s">
        <v>4787</v>
      </c>
      <c r="E18" s="2"/>
      <c r="F18" s="111"/>
      <c r="G18" s="111"/>
      <c r="H18" s="111"/>
    </row>
    <row r="19" spans="1:8">
      <c r="A19" s="116"/>
      <c r="B19" s="116"/>
      <c r="C19" s="116"/>
      <c r="D19" s="111"/>
      <c r="E19" s="111"/>
      <c r="F19" s="111"/>
      <c r="G19" s="111"/>
      <c r="H19" s="111"/>
    </row>
    <row r="20" spans="1:8">
      <c r="A20" s="116" t="s">
        <v>4788</v>
      </c>
      <c r="B20" s="116" t="s">
        <v>4789</v>
      </c>
      <c r="C20" s="116"/>
      <c r="D20" s="111" t="s">
        <v>4790</v>
      </c>
      <c r="E20" s="111"/>
      <c r="F20" s="111"/>
      <c r="G20" s="111"/>
      <c r="H20" s="111">
        <f>3600*4.8904</f>
        <v>17605.439999999999</v>
      </c>
    </row>
    <row r="21" spans="1:8">
      <c r="A21" s="116"/>
      <c r="B21" s="116"/>
      <c r="C21" s="111"/>
      <c r="D21" s="111" t="s">
        <v>4791</v>
      </c>
      <c r="E21" s="111"/>
      <c r="F21" s="111"/>
      <c r="G21" s="111"/>
      <c r="H21" s="111">
        <f>3600*4.8904</f>
        <v>17605.439999999999</v>
      </c>
    </row>
    <row r="22" spans="1:8">
      <c r="A22" s="116"/>
      <c r="B22" s="116"/>
      <c r="C22" s="116"/>
      <c r="D22" s="111"/>
      <c r="E22" s="111"/>
      <c r="F22" s="111"/>
      <c r="G22" s="111"/>
      <c r="H22" s="111"/>
    </row>
    <row r="23" spans="1:8">
      <c r="A23" s="116"/>
      <c r="B23" s="116"/>
      <c r="C23" s="116"/>
      <c r="D23" s="111" t="s">
        <v>1697</v>
      </c>
      <c r="E23" s="111"/>
      <c r="F23" s="111"/>
      <c r="G23" s="111"/>
      <c r="H23" s="111">
        <v>30</v>
      </c>
    </row>
    <row r="24" spans="1:8">
      <c r="B24" s="116"/>
      <c r="C24" s="116"/>
      <c r="D24" s="111"/>
      <c r="E24" s="111"/>
      <c r="F24" s="111"/>
      <c r="G24" s="111"/>
      <c r="H24" s="111"/>
    </row>
    <row r="25" spans="1:8">
      <c r="B25" s="116"/>
      <c r="C25" s="116"/>
      <c r="D25" s="111" t="s">
        <v>1814</v>
      </c>
      <c r="E25" s="111"/>
      <c r="F25" s="111"/>
      <c r="G25" s="111"/>
      <c r="H25" s="111">
        <v>1.8</v>
      </c>
    </row>
    <row r="26" spans="1:8">
      <c r="A26" s="116"/>
      <c r="B26" s="116"/>
      <c r="C26" s="116"/>
      <c r="D26" s="111"/>
      <c r="E26" s="111"/>
      <c r="F26" s="111"/>
      <c r="G26" s="111"/>
      <c r="H26" s="111"/>
    </row>
    <row r="27" spans="1:8">
      <c r="A27" s="116"/>
      <c r="B27" s="116"/>
      <c r="C27" s="116"/>
      <c r="D27" s="111"/>
      <c r="E27" s="111"/>
      <c r="F27" s="111"/>
      <c r="G27" s="111"/>
      <c r="H27" s="111"/>
    </row>
    <row r="28" spans="1:8">
      <c r="A28" s="116"/>
      <c r="B28" s="116"/>
      <c r="C28" s="111"/>
      <c r="D28" s="111"/>
      <c r="E28" s="111"/>
      <c r="F28" s="111"/>
      <c r="G28" s="111"/>
      <c r="H28" s="111"/>
    </row>
    <row r="29" spans="1:8">
      <c r="A29" s="116"/>
      <c r="B29" s="116"/>
      <c r="C29" s="116"/>
      <c r="D29" s="111"/>
      <c r="E29" s="111"/>
      <c r="F29" s="111"/>
      <c r="G29" s="111"/>
      <c r="H29" s="111"/>
    </row>
    <row r="30" spans="1:8">
      <c r="B30" s="116"/>
      <c r="C30" s="116"/>
      <c r="D30" s="111"/>
      <c r="E30" s="111"/>
      <c r="F30" s="111"/>
      <c r="G30" s="111"/>
      <c r="H30" s="111"/>
    </row>
    <row r="31" spans="1:8">
      <c r="B31" s="116"/>
      <c r="C31" s="116"/>
    </row>
    <row r="32" spans="1:8">
      <c r="B32" s="116"/>
      <c r="C32" s="116"/>
    </row>
    <row r="33" spans="1:8">
      <c r="A33" s="116"/>
      <c r="B33" s="116"/>
      <c r="C33" s="116"/>
    </row>
    <row r="34" spans="1:8">
      <c r="A34" s="111"/>
      <c r="B34" s="111"/>
      <c r="C34" s="111"/>
      <c r="D34" s="111"/>
      <c r="E34" s="111"/>
      <c r="F34" s="111"/>
      <c r="G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35242.68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Thirty-Five Thousand Two Hundred Forty-Two and 68/100 -----------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5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C6636-0538-4E2E-AB0F-A9F786920755}">
  <sheetPr codeName="Sheet570">
    <pageSetUpPr fitToPage="1"/>
  </sheetPr>
  <dimension ref="A1:H55"/>
  <sheetViews>
    <sheetView topLeftCell="A16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140625" style="111" customWidth="1"/>
    <col min="4" max="4" width="22.42578125" style="111" customWidth="1"/>
    <col min="5" max="5" width="0.8554687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483" t="s">
        <v>6957</v>
      </c>
    </row>
    <row r="10" spans="1:8">
      <c r="A10" s="2" t="s">
        <v>5881</v>
      </c>
      <c r="F10" s="112" t="s">
        <v>1180</v>
      </c>
      <c r="G10" s="484" t="s">
        <v>6959</v>
      </c>
    </row>
    <row r="11" spans="1:8">
      <c r="A11" s="111" t="s">
        <v>5885</v>
      </c>
      <c r="F11" s="112" t="s">
        <v>1181</v>
      </c>
      <c r="G11" s="484" t="s">
        <v>1094</v>
      </c>
    </row>
    <row r="12" spans="1:8">
      <c r="A12" s="111" t="s">
        <v>5882</v>
      </c>
      <c r="F12" s="112" t="s">
        <v>1182</v>
      </c>
      <c r="G12" s="484" t="s">
        <v>6958</v>
      </c>
    </row>
    <row r="13" spans="1:8">
      <c r="A13" s="111" t="s">
        <v>5883</v>
      </c>
    </row>
    <row r="14" spans="1:8">
      <c r="A14" s="111" t="s">
        <v>5884</v>
      </c>
    </row>
    <row r="16" spans="1:8" s="15" customFormat="1" ht="20.100000000000001" customHeight="1">
      <c r="A16" s="18" t="s">
        <v>1193</v>
      </c>
      <c r="B16" s="459" t="s">
        <v>1098</v>
      </c>
      <c r="C16" s="459"/>
      <c r="D16" s="19" t="s">
        <v>14</v>
      </c>
      <c r="E16" s="19"/>
      <c r="F16" s="18"/>
      <c r="G16" s="17"/>
      <c r="H16" s="16" t="s">
        <v>13</v>
      </c>
    </row>
    <row r="18" spans="1:8">
      <c r="A18" s="116"/>
      <c r="B18" s="121"/>
      <c r="C18" s="121"/>
      <c r="D18" s="168"/>
      <c r="E18" s="168"/>
    </row>
    <row r="19" spans="1:8">
      <c r="A19" s="111" t="s">
        <v>6441</v>
      </c>
      <c r="D19" s="111" t="s">
        <v>5886</v>
      </c>
    </row>
    <row r="20" spans="1:8">
      <c r="A20" s="116"/>
      <c r="B20" s="116"/>
      <c r="C20" s="116"/>
      <c r="D20" s="111" t="s">
        <v>5887</v>
      </c>
    </row>
    <row r="22" spans="1:8">
      <c r="A22" s="116"/>
      <c r="B22" s="121"/>
      <c r="C22" s="121"/>
      <c r="D22" s="111" t="s">
        <v>6960</v>
      </c>
      <c r="H22" s="111">
        <v>34495</v>
      </c>
    </row>
    <row r="23" spans="1:8">
      <c r="D23" s="111" t="s">
        <v>6961</v>
      </c>
      <c r="H23" s="483">
        <v>34495</v>
      </c>
    </row>
    <row r="24" spans="1:8">
      <c r="A24" s="116"/>
      <c r="D24" s="483" t="s">
        <v>6962</v>
      </c>
      <c r="E24" s="2"/>
      <c r="H24" s="483">
        <v>34495</v>
      </c>
    </row>
    <row r="25" spans="1:8">
      <c r="A25" s="116"/>
      <c r="B25" s="116"/>
      <c r="C25" s="116"/>
      <c r="H25" s="149"/>
    </row>
    <row r="26" spans="1:8">
      <c r="D26" s="483"/>
    </row>
    <row r="29" spans="1:8">
      <c r="D29" s="2"/>
      <c r="E29" s="2"/>
    </row>
    <row r="31" spans="1:8">
      <c r="A31" s="116"/>
      <c r="B31" s="116"/>
      <c r="C31" s="116"/>
    </row>
    <row r="35" spans="1:8" ht="13.5" thickBot="1">
      <c r="H35" s="127">
        <f>SUM(H20:H34)</f>
        <v>103485</v>
      </c>
    </row>
    <row r="36" spans="1:8" ht="13.5" thickTop="1"/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>One Hundred Three Thousand Four Hundred Eighty-Five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11" t="s">
        <v>10</v>
      </c>
      <c r="D39" s="487" t="s">
        <v>8</v>
      </c>
      <c r="F39" s="265" t="s">
        <v>2894</v>
      </c>
      <c r="G39" s="266"/>
      <c r="H39" s="267"/>
    </row>
    <row r="40" spans="1:8">
      <c r="D40" s="483"/>
    </row>
    <row r="41" spans="1:8">
      <c r="A41" s="126"/>
      <c r="D41" s="483"/>
    </row>
    <row r="42" spans="1:8">
      <c r="A42" s="111" t="s">
        <v>52</v>
      </c>
      <c r="D42" s="483"/>
      <c r="E42" s="121"/>
    </row>
    <row r="43" spans="1:8">
      <c r="A43" s="122"/>
      <c r="B43" s="122"/>
      <c r="C43" s="433"/>
      <c r="D43" s="122" t="s">
        <v>51</v>
      </c>
    </row>
    <row r="44" spans="1:8">
      <c r="D44" s="151" t="s">
        <v>103</v>
      </c>
    </row>
    <row r="45" spans="1:8" s="483" customFormat="1">
      <c r="D45" s="151"/>
    </row>
    <row r="46" spans="1:8">
      <c r="A46" s="123" t="s">
        <v>8</v>
      </c>
      <c r="D46" s="123" t="s">
        <v>8</v>
      </c>
      <c r="F46" s="123" t="s">
        <v>7</v>
      </c>
      <c r="H46" s="124"/>
    </row>
    <row r="50" spans="1:8">
      <c r="A50" s="122" t="s">
        <v>51</v>
      </c>
      <c r="B50" s="122"/>
      <c r="C50" s="433"/>
      <c r="D50" s="122" t="s">
        <v>51</v>
      </c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F52" s="111" t="s">
        <v>2</v>
      </c>
    </row>
    <row r="53" spans="1:8">
      <c r="A53" s="151"/>
    </row>
    <row r="54" spans="1:8">
      <c r="F54" s="2" t="s">
        <v>1</v>
      </c>
    </row>
    <row r="55" spans="1:8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A74A1-9DF4-4106-BD2E-5959EA5982EF}">
  <sheetPr codeName="Sheet571"/>
  <dimension ref="A1:H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140625" style="86" customWidth="1"/>
    <col min="2" max="2" width="13.42578125" style="86" customWidth="1"/>
    <col min="3" max="3" width="1.140625" style="86" customWidth="1"/>
    <col min="4" max="4" width="23" style="86" customWidth="1"/>
    <col min="5" max="5" width="2" style="86" customWidth="1"/>
    <col min="6" max="6" width="13.85546875" style="86" customWidth="1"/>
    <col min="7" max="7" width="9" style="86" customWidth="1"/>
    <col min="8" max="8" width="12.85546875" style="86" customWidth="1"/>
    <col min="9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1481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B8" s="131"/>
      <c r="C8" s="131"/>
      <c r="D8" s="131"/>
      <c r="E8" s="131"/>
      <c r="F8" s="87" t="s">
        <v>23</v>
      </c>
      <c r="G8" s="131"/>
      <c r="H8" s="131"/>
    </row>
    <row r="9" spans="1:8">
      <c r="A9" s="131"/>
      <c r="B9" s="131"/>
      <c r="C9" s="131"/>
      <c r="D9" s="131"/>
      <c r="E9" s="131"/>
      <c r="F9" s="132" t="s">
        <v>1127</v>
      </c>
      <c r="G9" s="131" t="s">
        <v>5937</v>
      </c>
      <c r="H9" s="131"/>
    </row>
    <row r="10" spans="1:8">
      <c r="A10" s="131" t="s">
        <v>5862</v>
      </c>
      <c r="B10" s="131"/>
      <c r="C10" s="131"/>
      <c r="D10" s="131"/>
      <c r="E10" s="131"/>
      <c r="F10" s="132" t="s">
        <v>1162</v>
      </c>
      <c r="G10" s="132" t="s">
        <v>5938</v>
      </c>
      <c r="H10" s="131"/>
    </row>
    <row r="11" spans="1:8">
      <c r="A11" s="131" t="s">
        <v>5863</v>
      </c>
      <c r="B11" s="131"/>
      <c r="C11" s="131"/>
      <c r="D11" s="131"/>
      <c r="E11" s="131"/>
      <c r="F11" s="132" t="s">
        <v>1163</v>
      </c>
      <c r="G11" s="132" t="s">
        <v>2023</v>
      </c>
      <c r="H11" s="131"/>
    </row>
    <row r="12" spans="1:8">
      <c r="A12" s="131" t="s">
        <v>5864</v>
      </c>
      <c r="B12" s="131"/>
      <c r="C12" s="131"/>
      <c r="D12" s="131"/>
      <c r="E12" s="131"/>
      <c r="F12" s="132" t="s">
        <v>1135</v>
      </c>
      <c r="G12" s="132" t="s">
        <v>1270</v>
      </c>
      <c r="H12" s="131"/>
    </row>
    <row r="13" spans="1:8">
      <c r="A13" s="131" t="s">
        <v>5865</v>
      </c>
      <c r="B13" s="131"/>
      <c r="C13" s="131"/>
      <c r="D13" s="131"/>
      <c r="E13" s="131"/>
      <c r="F13" s="131"/>
      <c r="G13" s="131"/>
      <c r="H13" s="131"/>
    </row>
    <row r="14" spans="1:8">
      <c r="A14" s="131" t="s">
        <v>3065</v>
      </c>
      <c r="B14" s="131"/>
      <c r="C14" s="131"/>
      <c r="D14" s="131"/>
      <c r="E14" s="131"/>
      <c r="F14" s="131"/>
      <c r="G14" s="131"/>
      <c r="H14" s="131"/>
    </row>
    <row r="15" spans="1:8">
      <c r="A15" s="131"/>
      <c r="B15" s="131"/>
      <c r="C15" s="131"/>
      <c r="D15" s="131"/>
      <c r="E15" s="131"/>
      <c r="F15" s="131"/>
      <c r="G15" s="131"/>
      <c r="H15" s="131"/>
    </row>
    <row r="16" spans="1:8" s="95" customFormat="1" ht="20.100000000000001" customHeight="1">
      <c r="A16" s="90" t="s">
        <v>1122</v>
      </c>
      <c r="B16" s="90" t="s">
        <v>1132</v>
      </c>
      <c r="C16" s="90"/>
      <c r="D16" s="92" t="s">
        <v>14</v>
      </c>
      <c r="E16" s="92"/>
      <c r="F16" s="90"/>
      <c r="G16" s="93"/>
      <c r="H16" s="94" t="s">
        <v>13</v>
      </c>
    </row>
    <row r="17" spans="1:8">
      <c r="A17" s="131"/>
      <c r="B17" s="131"/>
      <c r="C17" s="131"/>
      <c r="D17" s="131"/>
      <c r="E17" s="131"/>
      <c r="F17" s="131"/>
      <c r="G17" s="131"/>
      <c r="H17" s="131"/>
    </row>
    <row r="18" spans="1:8">
      <c r="A18" s="162"/>
      <c r="B18" s="131"/>
      <c r="C18" s="131"/>
      <c r="D18" s="110" t="s">
        <v>5866</v>
      </c>
      <c r="E18" s="110"/>
      <c r="F18" s="131"/>
      <c r="G18" s="131"/>
      <c r="H18" s="131"/>
    </row>
    <row r="19" spans="1:8">
      <c r="A19" s="131"/>
      <c r="B19" s="131"/>
      <c r="C19" s="131"/>
      <c r="D19" s="110"/>
      <c r="E19" s="110"/>
      <c r="F19" s="131"/>
      <c r="G19" s="131"/>
      <c r="H19" s="131"/>
    </row>
    <row r="20" spans="1:8">
      <c r="A20" s="165" t="s">
        <v>5850</v>
      </c>
      <c r="B20" s="158"/>
      <c r="C20" s="131"/>
      <c r="D20" s="140" t="s">
        <v>5867</v>
      </c>
      <c r="E20" s="140"/>
      <c r="F20" s="131"/>
      <c r="G20" s="131"/>
      <c r="H20" s="131">
        <v>60000</v>
      </c>
    </row>
    <row r="21" spans="1:8">
      <c r="A21" s="246"/>
      <c r="B21" s="131"/>
      <c r="C21" s="131"/>
      <c r="D21" s="131" t="s">
        <v>5868</v>
      </c>
      <c r="E21" s="131"/>
      <c r="H21" s="131"/>
    </row>
    <row r="22" spans="1:8">
      <c r="A22" s="162"/>
      <c r="B22" s="245"/>
      <c r="C22" s="245"/>
      <c r="D22" s="131" t="s">
        <v>5939</v>
      </c>
      <c r="E22" s="131"/>
      <c r="F22" s="131"/>
      <c r="G22" s="131"/>
      <c r="H22" s="131"/>
    </row>
    <row r="23" spans="1:8">
      <c r="D23" s="131"/>
      <c r="H23" s="131"/>
    </row>
    <row r="24" spans="1:8">
      <c r="A24" s="244"/>
      <c r="B24" s="131"/>
      <c r="C24" s="131"/>
      <c r="D24" s="131" t="s">
        <v>1697</v>
      </c>
      <c r="E24" s="131"/>
      <c r="H24" s="131">
        <v>30</v>
      </c>
    </row>
    <row r="25" spans="1:8">
      <c r="A25" s="246"/>
      <c r="B25" s="131"/>
      <c r="C25" s="131"/>
      <c r="D25" s="131"/>
      <c r="E25" s="131"/>
      <c r="H25" s="131"/>
    </row>
    <row r="26" spans="1:8">
      <c r="A26" s="162"/>
    </row>
    <row r="27" spans="1:8">
      <c r="B27" s="131"/>
      <c r="C27" s="131"/>
      <c r="D27" s="131"/>
      <c r="E27" s="131"/>
      <c r="H27" s="131"/>
    </row>
    <row r="28" spans="1:8">
      <c r="A28" s="244"/>
      <c r="B28" s="131"/>
      <c r="C28" s="131"/>
      <c r="D28" s="110"/>
      <c r="E28" s="110"/>
      <c r="H28" s="131"/>
    </row>
    <row r="29" spans="1:8">
      <c r="A29" s="246"/>
      <c r="B29" s="131"/>
      <c r="C29" s="131"/>
      <c r="D29" s="131"/>
      <c r="E29" s="131"/>
      <c r="H29" s="131"/>
    </row>
    <row r="30" spans="1:8">
      <c r="A30" s="244"/>
      <c r="B30" s="131"/>
      <c r="C30" s="131"/>
      <c r="D30" s="131"/>
      <c r="E30" s="131"/>
      <c r="H30" s="131"/>
    </row>
    <row r="31" spans="1:8">
      <c r="A31" s="246"/>
      <c r="B31" s="131"/>
      <c r="C31" s="131"/>
      <c r="D31" s="110"/>
      <c r="E31" s="110"/>
      <c r="H31" s="131"/>
    </row>
    <row r="32" spans="1:8">
      <c r="A32" s="162"/>
      <c r="B32" s="131"/>
      <c r="C32" s="131"/>
      <c r="D32" s="131"/>
      <c r="E32" s="131"/>
      <c r="H32" s="131"/>
    </row>
    <row r="33" spans="1:8">
      <c r="A33" s="246"/>
      <c r="B33" s="131"/>
      <c r="C33" s="131"/>
      <c r="D33" s="131"/>
      <c r="E33" s="131"/>
      <c r="H33" s="131"/>
    </row>
    <row r="34" spans="1:8">
      <c r="A34" s="162"/>
      <c r="B34" s="131"/>
      <c r="C34" s="131"/>
      <c r="D34" s="131"/>
      <c r="E34" s="131"/>
      <c r="H34" s="131"/>
    </row>
    <row r="35" spans="1:8" ht="13.5" thickBot="1">
      <c r="A35" s="131"/>
      <c r="B35" s="131"/>
      <c r="C35" s="131"/>
      <c r="D35" s="131"/>
      <c r="E35" s="131"/>
      <c r="F35" s="131"/>
      <c r="G35" s="131"/>
      <c r="H35" s="457">
        <f>SUM(H19:H34)</f>
        <v>60030</v>
      </c>
    </row>
    <row r="36" spans="1:8" ht="13.5" thickTop="1">
      <c r="A36" s="147"/>
      <c r="B36" s="131"/>
      <c r="C36" s="131"/>
      <c r="D36" s="131"/>
      <c r="E36" s="131"/>
    </row>
    <row r="37" spans="1:8" ht="20.100000000000001" customHeight="1">
      <c r="A37" s="138" t="s">
        <v>1133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Sixty Thousand Thirty and NO/100 -----------</v>
      </c>
      <c r="C37" s="204"/>
      <c r="D37" s="139"/>
      <c r="E37" s="139"/>
      <c r="F37" s="139"/>
      <c r="G37" s="139"/>
      <c r="H37" s="139"/>
    </row>
    <row r="38" spans="1:8">
      <c r="A38" s="140" t="s">
        <v>11</v>
      </c>
      <c r="B38" s="131"/>
      <c r="C38" s="131"/>
      <c r="D38" s="131"/>
      <c r="E38" s="131"/>
      <c r="F38" s="131"/>
      <c r="G38" s="131"/>
      <c r="H38" s="131"/>
    </row>
    <row r="39" spans="1:8" ht="25.5">
      <c r="A39" s="147" t="s">
        <v>10</v>
      </c>
      <c r="B39" s="131"/>
      <c r="C39" s="131"/>
      <c r="D39" s="131"/>
      <c r="E39" s="131"/>
      <c r="F39" s="283" t="s">
        <v>2894</v>
      </c>
      <c r="G39" s="284"/>
      <c r="H39" s="285"/>
    </row>
    <row r="40" spans="1:8">
      <c r="A40" s="131"/>
      <c r="B40" s="131"/>
      <c r="C40" s="131"/>
      <c r="D40" s="131"/>
      <c r="E40" s="131"/>
      <c r="F40" s="131"/>
      <c r="G40" s="131"/>
      <c r="H40" s="131"/>
    </row>
    <row r="41" spans="1:8">
      <c r="A41" s="145"/>
      <c r="B41" s="131"/>
      <c r="C41" s="131"/>
      <c r="D41" s="131"/>
      <c r="E41" s="131"/>
      <c r="F41" s="131"/>
      <c r="G41" s="131"/>
      <c r="H41" s="131"/>
    </row>
    <row r="42" spans="1:8">
      <c r="A42" s="131"/>
      <c r="B42" s="131"/>
      <c r="C42" s="131"/>
      <c r="D42" s="141"/>
      <c r="E42" s="141"/>
      <c r="F42" s="131"/>
      <c r="G42" s="131"/>
      <c r="H42" s="131"/>
    </row>
    <row r="43" spans="1:8">
      <c r="A43" s="142"/>
      <c r="B43" s="142"/>
      <c r="C43" s="131"/>
      <c r="D43" s="131"/>
      <c r="E43" s="131"/>
      <c r="F43" s="131"/>
      <c r="G43" s="131"/>
      <c r="H43" s="131"/>
    </row>
    <row r="44" spans="1:8">
      <c r="B44" s="131"/>
      <c r="C44" s="131"/>
      <c r="D44" s="131"/>
      <c r="E44" s="131"/>
      <c r="F44" s="131"/>
      <c r="G44" s="131"/>
      <c r="H44" s="131"/>
    </row>
    <row r="45" spans="1:8">
      <c r="A45" s="143" t="s">
        <v>8</v>
      </c>
      <c r="D45" s="143" t="s">
        <v>8</v>
      </c>
      <c r="E45" s="131"/>
      <c r="F45" s="143" t="s">
        <v>7</v>
      </c>
      <c r="G45" s="131"/>
      <c r="H45" s="144"/>
    </row>
    <row r="46" spans="1:8">
      <c r="A46" s="131"/>
      <c r="B46" s="131"/>
      <c r="C46" s="131"/>
      <c r="D46" s="131"/>
      <c r="E46" s="131"/>
      <c r="F46" s="131"/>
      <c r="G46" s="131"/>
      <c r="H46" s="131"/>
    </row>
    <row r="47" spans="1:8">
      <c r="A47" s="131"/>
      <c r="B47" s="131"/>
      <c r="C47" s="131"/>
      <c r="D47" s="131"/>
      <c r="E47" s="131"/>
      <c r="F47" s="131"/>
      <c r="G47" s="131"/>
      <c r="H47" s="131"/>
    </row>
    <row r="48" spans="1:8">
      <c r="A48" s="131"/>
      <c r="B48" s="131"/>
      <c r="C48" s="131"/>
      <c r="D48" s="131"/>
      <c r="E48" s="131"/>
      <c r="F48" s="131"/>
      <c r="G48" s="131"/>
      <c r="H48" s="131"/>
    </row>
    <row r="49" spans="1:8">
      <c r="A49" s="142"/>
      <c r="B49" s="142"/>
      <c r="C49" s="131"/>
      <c r="D49" s="142"/>
      <c r="E49" s="131"/>
      <c r="F49" s="142"/>
      <c r="G49" s="142"/>
      <c r="H49" s="142"/>
    </row>
    <row r="50" spans="1:8" s="109" customFormat="1" ht="17.100000000000001" customHeight="1">
      <c r="A50" s="145" t="s">
        <v>2948</v>
      </c>
      <c r="B50" s="146"/>
      <c r="C50" s="146"/>
      <c r="D50" s="145" t="s">
        <v>103</v>
      </c>
      <c r="E50" s="147"/>
      <c r="F50" s="147" t="s">
        <v>3</v>
      </c>
      <c r="G50" s="147"/>
      <c r="H50" s="147"/>
    </row>
    <row r="51" spans="1:8">
      <c r="A51" s="131"/>
      <c r="B51" s="131"/>
      <c r="C51" s="131"/>
      <c r="D51" s="131"/>
      <c r="E51" s="131"/>
      <c r="F51" s="131" t="s">
        <v>2</v>
      </c>
      <c r="G51" s="131"/>
      <c r="H51" s="131"/>
    </row>
    <row r="52" spans="1:8">
      <c r="A52" s="131"/>
      <c r="B52" s="131"/>
      <c r="C52" s="131"/>
      <c r="D52" s="131"/>
      <c r="E52" s="131"/>
      <c r="F52" s="131"/>
      <c r="G52" s="131"/>
      <c r="H52" s="131"/>
    </row>
    <row r="53" spans="1:8">
      <c r="A53" s="131"/>
      <c r="B53" s="131"/>
      <c r="C53" s="131"/>
      <c r="D53" s="131"/>
      <c r="E53" s="131"/>
      <c r="F53" s="110" t="s">
        <v>1</v>
      </c>
      <c r="G53" s="131"/>
      <c r="H53" s="131"/>
    </row>
    <row r="54" spans="1:8">
      <c r="A54" s="131"/>
      <c r="B54" s="131"/>
      <c r="C54" s="131"/>
      <c r="D54" s="131"/>
      <c r="E54" s="131"/>
      <c r="F54" s="110" t="s">
        <v>0</v>
      </c>
      <c r="G54" s="131"/>
      <c r="H54" s="131"/>
    </row>
    <row r="55" spans="1:8">
      <c r="A55" s="131"/>
      <c r="B55" s="131"/>
      <c r="C55" s="131"/>
      <c r="D55" s="131"/>
      <c r="E55" s="131"/>
      <c r="F55" s="131"/>
      <c r="G55" s="131"/>
      <c r="H55" s="131"/>
    </row>
    <row r="56" spans="1:8">
      <c r="A56" s="131"/>
      <c r="B56" s="131"/>
      <c r="C56" s="131"/>
      <c r="D56" s="131"/>
      <c r="E56" s="131"/>
      <c r="F56" s="131"/>
      <c r="G56" s="131"/>
      <c r="H56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5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1-000000000000}">
  <sheetPr codeName="Sheet380">
    <pageSetUpPr fitToPage="1"/>
  </sheetPr>
  <dimension ref="A1:H55"/>
  <sheetViews>
    <sheetView topLeftCell="A4" workbookViewId="0">
      <selection activeCell="G9" sqref="G9:G13"/>
    </sheetView>
  </sheetViews>
  <sheetFormatPr defaultRowHeight="12.75"/>
  <cols>
    <col min="1" max="1" width="15.85546875" style="111" customWidth="1"/>
    <col min="2" max="2" width="15.140625" style="111" customWidth="1"/>
    <col min="3" max="3" width="2" style="111" customWidth="1"/>
    <col min="4" max="4" width="22.42578125" style="111" customWidth="1"/>
    <col min="5" max="5" width="1.7109375" style="111" customWidth="1"/>
    <col min="6" max="6" width="15" style="111" customWidth="1"/>
    <col min="7" max="7" width="8.28515625" style="111" customWidth="1"/>
    <col min="8" max="8" width="13.710937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11" t="s">
        <v>5776</v>
      </c>
    </row>
    <row r="10" spans="1:8">
      <c r="A10" s="111" t="s">
        <v>5778</v>
      </c>
      <c r="F10" s="112" t="s">
        <v>1180</v>
      </c>
      <c r="G10" s="112" t="s">
        <v>5777</v>
      </c>
    </row>
    <row r="11" spans="1:8">
      <c r="A11" s="111" t="s">
        <v>3287</v>
      </c>
      <c r="F11" s="112" t="s">
        <v>1181</v>
      </c>
      <c r="G11" s="112" t="s">
        <v>1094</v>
      </c>
    </row>
    <row r="12" spans="1:8">
      <c r="A12" s="111" t="s">
        <v>3288</v>
      </c>
      <c r="F12" s="112" t="s">
        <v>1182</v>
      </c>
      <c r="G12" s="112" t="s">
        <v>1270</v>
      </c>
    </row>
    <row r="13" spans="1:8">
      <c r="A13" s="111" t="s">
        <v>3289</v>
      </c>
    </row>
    <row r="14" spans="1:8">
      <c r="A14" s="111" t="s">
        <v>3290</v>
      </c>
    </row>
    <row r="16" spans="1:8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5779</v>
      </c>
      <c r="E18" s="2"/>
    </row>
    <row r="19" spans="1:8">
      <c r="A19" s="120"/>
      <c r="D19" s="2"/>
      <c r="E19" s="2"/>
    </row>
    <row r="20" spans="1:8">
      <c r="A20" s="116" t="s">
        <v>5677</v>
      </c>
      <c r="B20" s="241" t="s">
        <v>5780</v>
      </c>
      <c r="C20" s="241"/>
      <c r="D20" s="111" t="s">
        <v>5782</v>
      </c>
      <c r="H20" s="111">
        <f>4.238497*1870</f>
        <v>7925.9893899999997</v>
      </c>
    </row>
    <row r="21" spans="1:8">
      <c r="D21" s="120" t="s">
        <v>5783</v>
      </c>
      <c r="E21" s="120"/>
    </row>
    <row r="22" spans="1:8">
      <c r="A22" s="112"/>
      <c r="B22" s="116"/>
      <c r="C22" s="116"/>
      <c r="D22" s="111" t="s">
        <v>5781</v>
      </c>
    </row>
    <row r="24" spans="1:8">
      <c r="A24" s="116"/>
      <c r="B24" s="121"/>
      <c r="C24" s="121"/>
      <c r="D24" s="111" t="s">
        <v>1697</v>
      </c>
      <c r="H24" s="111">
        <v>30</v>
      </c>
    </row>
    <row r="25" spans="1:8">
      <c r="A25" s="148"/>
      <c r="B25" s="157"/>
      <c r="C25" s="157"/>
      <c r="H25" s="149"/>
    </row>
    <row r="26" spans="1:8">
      <c r="A26" s="148"/>
      <c r="B26" s="157"/>
      <c r="C26" s="157"/>
      <c r="H26" s="149"/>
    </row>
    <row r="27" spans="1:8">
      <c r="A27" s="148"/>
      <c r="B27" s="157"/>
      <c r="C27" s="157"/>
      <c r="H27" s="149"/>
    </row>
    <row r="28" spans="1:8">
      <c r="A28" s="148"/>
      <c r="B28" s="157"/>
      <c r="C28" s="157"/>
      <c r="H28" s="149"/>
    </row>
    <row r="29" spans="1:8">
      <c r="A29" s="148"/>
      <c r="B29" s="120"/>
      <c r="C29" s="120"/>
    </row>
    <row r="30" spans="1:8">
      <c r="A30" s="148"/>
    </row>
    <row r="31" spans="1:8">
      <c r="A31" s="148"/>
    </row>
    <row r="36" spans="1:8" ht="13.5" thickBot="1">
      <c r="H36" s="127">
        <f>SUM(H20:H35)</f>
        <v>7955.9893899999997</v>
      </c>
    </row>
    <row r="37" spans="1:8" ht="13.5" thickTop="1"/>
    <row r="38" spans="1:8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Seven Thousand Nine Hundred Fifty-Five and 99/100 -----------</v>
      </c>
      <c r="C38" s="202"/>
      <c r="D38" s="119"/>
      <c r="E38" s="119"/>
      <c r="F38" s="119"/>
      <c r="G38" s="119"/>
      <c r="H38" s="119"/>
    </row>
    <row r="39" spans="1:8">
      <c r="A39" s="120" t="s">
        <v>11</v>
      </c>
    </row>
    <row r="40" spans="1:8" ht="25.5">
      <c r="A40" s="111" t="s">
        <v>10</v>
      </c>
      <c r="F40" s="265" t="s">
        <v>2894</v>
      </c>
      <c r="G40" s="266"/>
      <c r="H40" s="267"/>
    </row>
    <row r="42" spans="1:8">
      <c r="A42" s="126"/>
    </row>
    <row r="43" spans="1:8">
      <c r="A43" s="111" t="s">
        <v>52</v>
      </c>
      <c r="D43" s="121"/>
      <c r="E43" s="121"/>
    </row>
    <row r="44" spans="1:8">
      <c r="A44" s="122"/>
      <c r="B44" s="122"/>
    </row>
    <row r="46" spans="1:8">
      <c r="A46" s="123" t="s">
        <v>8</v>
      </c>
      <c r="D46" s="123" t="s">
        <v>8</v>
      </c>
      <c r="F46" s="123" t="s">
        <v>7</v>
      </c>
      <c r="H46" s="124"/>
    </row>
    <row r="50" spans="1:8">
      <c r="A50" s="122" t="s">
        <v>51</v>
      </c>
      <c r="B50" s="122"/>
      <c r="D50" s="122" t="s">
        <v>51</v>
      </c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F52" s="111" t="s">
        <v>2</v>
      </c>
    </row>
    <row r="53" spans="1:8">
      <c r="A53" s="151"/>
    </row>
    <row r="54" spans="1:8">
      <c r="F54" s="2" t="s">
        <v>1</v>
      </c>
    </row>
    <row r="55" spans="1:8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16">
    <pageSetUpPr fitToPage="1"/>
  </sheetPr>
  <dimension ref="A1:I53"/>
  <sheetViews>
    <sheetView workbookViewId="0">
      <selection activeCell="G9" sqref="G9:G13"/>
    </sheetView>
  </sheetViews>
  <sheetFormatPr defaultRowHeight="12.75"/>
  <cols>
    <col min="1" max="1" width="15.42578125" style="111" customWidth="1"/>
    <col min="2" max="2" width="14.5703125" style="111" customWidth="1"/>
    <col min="3" max="3" width="0.7109375" style="483" customWidth="1"/>
    <col min="4" max="4" width="23" style="111" customWidth="1"/>
    <col min="5" max="5" width="1.140625" style="483" customWidth="1"/>
    <col min="6" max="6" width="12.85546875" style="111" customWidth="1"/>
    <col min="7" max="7" width="8.85546875" style="111" customWidth="1"/>
    <col min="8" max="8" width="13.57031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1110</v>
      </c>
      <c r="G9" s="489" t="s">
        <v>6558</v>
      </c>
    </row>
    <row r="10" spans="1:8">
      <c r="A10" s="111" t="s">
        <v>3438</v>
      </c>
      <c r="F10" s="112" t="s">
        <v>1162</v>
      </c>
      <c r="G10" s="132" t="s">
        <v>6557</v>
      </c>
    </row>
    <row r="11" spans="1:8">
      <c r="A11" s="111" t="s">
        <v>3439</v>
      </c>
      <c r="F11" s="112" t="s">
        <v>1187</v>
      </c>
      <c r="G11" s="132" t="s">
        <v>1094</v>
      </c>
    </row>
    <row r="12" spans="1:8">
      <c r="F12" s="112" t="s">
        <v>1188</v>
      </c>
      <c r="G12" s="486" t="s">
        <v>6559</v>
      </c>
    </row>
    <row r="13" spans="1:8">
      <c r="G13" s="131" t="s">
        <v>5914</v>
      </c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8" spans="1:9">
      <c r="D18" s="2" t="s">
        <v>3572</v>
      </c>
      <c r="E18" s="482"/>
      <c r="I18" s="1"/>
    </row>
    <row r="19" spans="1:9">
      <c r="A19" s="173"/>
      <c r="D19" s="2"/>
      <c r="E19" s="482"/>
      <c r="I19" s="1"/>
    </row>
    <row r="20" spans="1:9">
      <c r="A20" s="174" t="s">
        <v>6561</v>
      </c>
      <c r="B20" s="116" t="s">
        <v>6560</v>
      </c>
      <c r="C20" s="485"/>
      <c r="D20" s="111" t="s">
        <v>6562</v>
      </c>
      <c r="H20" s="111">
        <v>400</v>
      </c>
      <c r="I20" s="1"/>
    </row>
    <row r="21" spans="1:9">
      <c r="I21" s="1"/>
    </row>
    <row r="22" spans="1:9">
      <c r="A22" s="174"/>
      <c r="B22" s="116"/>
      <c r="C22" s="485"/>
      <c r="I22" s="1"/>
    </row>
    <row r="23" spans="1:9">
      <c r="A23" s="174"/>
      <c r="B23" s="116"/>
      <c r="C23" s="485"/>
      <c r="I23" s="1"/>
    </row>
    <row r="24" spans="1:9">
      <c r="A24" s="174"/>
      <c r="B24" s="121"/>
      <c r="C24" s="121"/>
      <c r="I24" s="86"/>
    </row>
    <row r="25" spans="1:9">
      <c r="A25" s="131"/>
      <c r="B25" s="131"/>
      <c r="C25" s="488"/>
      <c r="D25" s="131"/>
      <c r="E25" s="488"/>
      <c r="F25" s="131"/>
      <c r="G25" s="131"/>
      <c r="H25" s="131"/>
      <c r="I25" s="86"/>
    </row>
    <row r="26" spans="1:9">
      <c r="A26" s="174"/>
      <c r="B26" s="116"/>
      <c r="C26" s="485"/>
    </row>
    <row r="27" spans="1:9">
      <c r="A27" s="173"/>
    </row>
    <row r="28" spans="1:9">
      <c r="A28" s="116"/>
      <c r="B28" s="116"/>
      <c r="C28" s="485"/>
      <c r="D28" s="120"/>
      <c r="E28" s="486"/>
    </row>
    <row r="31" spans="1:9">
      <c r="B31" s="120"/>
      <c r="C31" s="486"/>
    </row>
    <row r="32" spans="1:9">
      <c r="A32" s="116"/>
      <c r="B32" s="116"/>
      <c r="C32" s="485"/>
      <c r="D32" s="120"/>
      <c r="E32" s="486"/>
    </row>
    <row r="34" spans="1:8" ht="13.5" thickBot="1">
      <c r="H34" s="127">
        <f>SUM(H19:H33)</f>
        <v>400</v>
      </c>
    </row>
    <row r="35" spans="1:8" ht="13.5" thickTop="1"/>
    <row r="36" spans="1:8" ht="20.100000000000001" customHeight="1">
      <c r="A36" s="118" t="s">
        <v>204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Four Hundred and NO/100 -----------</v>
      </c>
      <c r="C36" s="202"/>
      <c r="D36" s="119"/>
      <c r="E36" s="119"/>
      <c r="F36" s="119"/>
      <c r="G36" s="119"/>
      <c r="H36" s="261"/>
    </row>
    <row r="37" spans="1:8">
      <c r="A37" s="120"/>
      <c r="H37" s="263"/>
    </row>
    <row r="38" spans="1:8" ht="25.5">
      <c r="A38" s="111" t="s">
        <v>10</v>
      </c>
      <c r="F38" s="265" t="s">
        <v>2894</v>
      </c>
      <c r="G38" s="266"/>
      <c r="H38" s="267"/>
    </row>
    <row r="39" spans="1:8">
      <c r="A39" s="126"/>
    </row>
    <row r="41" spans="1:8">
      <c r="D41" s="121"/>
      <c r="E41" s="121"/>
    </row>
    <row r="42" spans="1:8">
      <c r="A42" s="122"/>
      <c r="B42" s="122"/>
      <c r="C42" s="433"/>
    </row>
    <row r="43" spans="1:8">
      <c r="F43" s="123" t="s">
        <v>7</v>
      </c>
    </row>
    <row r="44" spans="1:8">
      <c r="A44" s="123" t="s">
        <v>8</v>
      </c>
      <c r="D44" s="487" t="s">
        <v>8</v>
      </c>
      <c r="H44" s="124"/>
    </row>
    <row r="45" spans="1:8">
      <c r="D45" s="483"/>
    </row>
    <row r="46" spans="1:8">
      <c r="D46" s="483"/>
    </row>
    <row r="47" spans="1:8">
      <c r="D47" s="483"/>
    </row>
    <row r="48" spans="1:8">
      <c r="A48" s="122"/>
      <c r="B48" s="122"/>
      <c r="C48" s="433"/>
      <c r="D48" s="122"/>
      <c r="F48" s="122"/>
      <c r="G48" s="122"/>
      <c r="H48" s="122"/>
    </row>
    <row r="49" spans="1:6" s="126" customFormat="1" ht="17.100000000000001" customHeight="1">
      <c r="A49" s="151" t="s">
        <v>2948</v>
      </c>
      <c r="B49" s="125"/>
      <c r="C49" s="125"/>
      <c r="D49" s="151" t="s">
        <v>103</v>
      </c>
      <c r="F49" s="126" t="s">
        <v>3</v>
      </c>
    </row>
    <row r="50" spans="1:6">
      <c r="A50" s="151"/>
      <c r="F50" s="111" t="s">
        <v>2</v>
      </c>
    </row>
    <row r="52" spans="1:6">
      <c r="F52" s="2" t="s">
        <v>1</v>
      </c>
    </row>
    <row r="53" spans="1:6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5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1-000000000000}">
  <sheetPr codeName="Sheet381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6.140625" style="86" customWidth="1"/>
    <col min="2" max="2" width="12.5703125" style="86" customWidth="1"/>
    <col min="3" max="3" width="23" style="86" customWidth="1"/>
    <col min="4" max="4" width="13.85546875" style="86" customWidth="1"/>
    <col min="5" max="5" width="9" style="86" customWidth="1"/>
    <col min="6" max="6" width="12.85546875" style="86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1481</v>
      </c>
      <c r="B4" s="532"/>
      <c r="C4" s="532"/>
      <c r="D4" s="532"/>
      <c r="E4" s="532"/>
      <c r="F4" s="532"/>
    </row>
    <row r="8" spans="1:6">
      <c r="A8" s="131" t="s">
        <v>24</v>
      </c>
      <c r="B8" s="131"/>
      <c r="C8" s="131"/>
      <c r="D8" s="87" t="s">
        <v>23</v>
      </c>
      <c r="E8" s="131"/>
      <c r="F8" s="131"/>
    </row>
    <row r="9" spans="1:6">
      <c r="A9" s="131"/>
      <c r="B9" s="131"/>
      <c r="C9" s="131"/>
      <c r="D9" s="132" t="s">
        <v>1127</v>
      </c>
      <c r="E9" s="111" t="s">
        <v>3594</v>
      </c>
      <c r="F9" s="131"/>
    </row>
    <row r="10" spans="1:6">
      <c r="A10" s="131" t="s">
        <v>3417</v>
      </c>
      <c r="B10" s="131"/>
      <c r="C10" s="131"/>
      <c r="D10" s="132" t="s">
        <v>1162</v>
      </c>
      <c r="E10" s="123" t="s">
        <v>3592</v>
      </c>
      <c r="F10" s="131"/>
    </row>
    <row r="11" spans="1:6">
      <c r="A11" s="131" t="s">
        <v>3418</v>
      </c>
      <c r="B11" s="131"/>
      <c r="C11" s="131"/>
      <c r="D11" s="132" t="s">
        <v>1163</v>
      </c>
      <c r="E11" s="123" t="s">
        <v>1094</v>
      </c>
      <c r="F11" s="131"/>
    </row>
    <row r="12" spans="1:6">
      <c r="A12" s="131" t="s">
        <v>3419</v>
      </c>
      <c r="B12" s="131"/>
      <c r="C12" s="131"/>
      <c r="D12" s="132" t="s">
        <v>1135</v>
      </c>
      <c r="E12" s="112" t="s">
        <v>3595</v>
      </c>
      <c r="F12" s="131"/>
    </row>
    <row r="13" spans="1:6">
      <c r="A13" s="131" t="s">
        <v>1587</v>
      </c>
      <c r="B13" s="131"/>
      <c r="C13" s="131"/>
      <c r="D13" s="131"/>
      <c r="E13" s="131"/>
      <c r="F13" s="131"/>
    </row>
    <row r="14" spans="1:6">
      <c r="A14" s="131" t="s">
        <v>1588</v>
      </c>
      <c r="B14" s="131"/>
      <c r="C14" s="131"/>
      <c r="D14" s="131"/>
      <c r="F14" s="131"/>
    </row>
    <row r="15" spans="1:6">
      <c r="A15" s="131" t="s">
        <v>3420</v>
      </c>
      <c r="B15" s="131"/>
      <c r="C15" s="131"/>
      <c r="D15" s="131"/>
      <c r="E15" s="131"/>
      <c r="F15" s="131"/>
    </row>
    <row r="16" spans="1:6" s="95" customFormat="1" ht="20.100000000000001" customHeight="1">
      <c r="A16" s="90" t="s">
        <v>1122</v>
      </c>
      <c r="B16" s="90" t="s">
        <v>1132</v>
      </c>
      <c r="C16" s="92" t="s">
        <v>14</v>
      </c>
      <c r="D16" s="90"/>
      <c r="E16" s="93"/>
      <c r="F16" s="94" t="s">
        <v>13</v>
      </c>
    </row>
    <row r="17" spans="1:6">
      <c r="A17" s="131"/>
      <c r="B17" s="131"/>
      <c r="C17" s="131"/>
      <c r="D17" s="131"/>
      <c r="E17" s="131"/>
      <c r="F17" s="131"/>
    </row>
    <row r="18" spans="1:6">
      <c r="C18" s="110" t="s">
        <v>3596</v>
      </c>
    </row>
    <row r="20" spans="1:6">
      <c r="A20" s="158" t="s">
        <v>3593</v>
      </c>
      <c r="B20" s="141" t="s">
        <v>3597</v>
      </c>
      <c r="C20" s="131" t="s">
        <v>3598</v>
      </c>
      <c r="F20" s="131">
        <v>5000</v>
      </c>
    </row>
    <row r="21" spans="1:6">
      <c r="A21" s="158"/>
      <c r="B21" s="141"/>
      <c r="C21" s="131" t="s">
        <v>1814</v>
      </c>
      <c r="F21" s="131">
        <f>F20*6%</f>
        <v>300</v>
      </c>
    </row>
    <row r="22" spans="1:6">
      <c r="A22" s="158"/>
      <c r="B22" s="141"/>
      <c r="C22" s="131"/>
      <c r="D22" s="131"/>
      <c r="E22" s="131"/>
      <c r="F22" s="131"/>
    </row>
    <row r="23" spans="1:6">
      <c r="A23" s="158"/>
      <c r="B23" s="141"/>
      <c r="C23" s="131"/>
      <c r="D23" s="131"/>
      <c r="E23" s="131"/>
      <c r="F23" s="131"/>
    </row>
    <row r="24" spans="1:6">
      <c r="A24" s="158"/>
      <c r="B24" s="158"/>
      <c r="C24" s="131"/>
      <c r="D24" s="131"/>
      <c r="E24" s="131"/>
      <c r="F24" s="131"/>
    </row>
    <row r="25" spans="1:6">
      <c r="A25" s="158"/>
      <c r="B25" s="158"/>
      <c r="C25" s="131"/>
      <c r="D25" s="131"/>
      <c r="E25" s="131"/>
      <c r="F25" s="131"/>
    </row>
    <row r="26" spans="1:6">
      <c r="A26" s="158"/>
      <c r="B26" s="158"/>
      <c r="C26" s="131"/>
      <c r="D26" s="131"/>
      <c r="E26" s="131"/>
      <c r="F26" s="131"/>
    </row>
    <row r="27" spans="1:6">
      <c r="A27" s="158"/>
      <c r="B27" s="158"/>
      <c r="C27" s="131"/>
      <c r="D27" s="131"/>
      <c r="E27" s="131"/>
      <c r="F27" s="131"/>
    </row>
    <row r="28" spans="1:6">
      <c r="A28" s="158"/>
      <c r="B28" s="140"/>
      <c r="C28" s="131"/>
      <c r="D28" s="131"/>
      <c r="E28" s="131"/>
      <c r="F28" s="131"/>
    </row>
    <row r="29" spans="1:6">
      <c r="A29" s="158"/>
      <c r="B29" s="140"/>
      <c r="C29" s="110"/>
      <c r="D29" s="131"/>
      <c r="E29" s="131"/>
      <c r="F29" s="131"/>
    </row>
    <row r="30" spans="1:6">
      <c r="B30" s="140"/>
      <c r="C30" s="131"/>
      <c r="D30" s="131"/>
      <c r="E30" s="131"/>
      <c r="F30" s="131"/>
    </row>
    <row r="31" spans="1:6">
      <c r="A31" s="158"/>
      <c r="B31" s="158"/>
      <c r="C31" s="131"/>
      <c r="D31" s="131"/>
      <c r="E31" s="131"/>
      <c r="F31" s="131"/>
    </row>
    <row r="32" spans="1:6">
      <c r="A32" s="131"/>
      <c r="B32" s="131"/>
      <c r="C32" s="131"/>
      <c r="D32" s="131"/>
      <c r="E32" s="131"/>
    </row>
    <row r="33" spans="1:6" ht="13.5" thickBot="1">
      <c r="A33" s="131"/>
      <c r="B33" s="131"/>
      <c r="C33" s="131"/>
      <c r="D33" s="131"/>
      <c r="E33" s="131"/>
      <c r="F33" s="137">
        <f>SUM(F20:F32)</f>
        <v>5300</v>
      </c>
    </row>
    <row r="34" spans="1:6" ht="13.5" thickTop="1">
      <c r="A34" s="131"/>
      <c r="B34" s="131"/>
      <c r="C34" s="131"/>
      <c r="D34" s="131"/>
      <c r="E34" s="131"/>
      <c r="F34" s="131"/>
    </row>
    <row r="35" spans="1:6" ht="20.100000000000001" customHeight="1">
      <c r="A35" s="138" t="s">
        <v>1133</v>
      </c>
      <c r="B35" s="204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Five Thousand Three Hundred and NO/100 -----------</v>
      </c>
      <c r="C35" s="139"/>
      <c r="D35" s="139"/>
      <c r="E35" s="139"/>
      <c r="F35" s="139"/>
    </row>
    <row r="36" spans="1:6">
      <c r="A36" s="140" t="s">
        <v>11</v>
      </c>
      <c r="B36" s="131"/>
      <c r="C36" s="131"/>
      <c r="D36" s="131"/>
      <c r="E36" s="131"/>
      <c r="F36" s="131"/>
    </row>
    <row r="37" spans="1:6">
      <c r="A37" s="131" t="s">
        <v>10</v>
      </c>
      <c r="B37" s="131"/>
      <c r="C37" s="131"/>
      <c r="D37" s="131"/>
      <c r="E37" s="131"/>
      <c r="F37" s="131"/>
    </row>
    <row r="38" spans="1:6">
      <c r="A38" s="131"/>
      <c r="B38" s="131"/>
      <c r="C38" s="131"/>
      <c r="D38" s="131"/>
      <c r="E38" s="131"/>
      <c r="F38" s="131"/>
    </row>
    <row r="39" spans="1:6" ht="25.5">
      <c r="A39" s="147"/>
      <c r="B39" s="131"/>
      <c r="C39" s="131"/>
      <c r="D39" s="283" t="s">
        <v>2894</v>
      </c>
      <c r="E39" s="284"/>
      <c r="F39" s="285"/>
    </row>
    <row r="40" spans="1:6">
      <c r="A40" s="131"/>
      <c r="B40" s="131"/>
      <c r="C40" s="141"/>
      <c r="D40" s="131"/>
      <c r="E40" s="131"/>
      <c r="F40" s="131"/>
    </row>
    <row r="41" spans="1:6">
      <c r="A41" s="142"/>
      <c r="B41" s="142"/>
      <c r="C41" s="131"/>
      <c r="D41" s="131"/>
      <c r="E41" s="131"/>
      <c r="F41" s="131"/>
    </row>
    <row r="42" spans="1:6">
      <c r="B42" s="131"/>
      <c r="C42" s="131"/>
      <c r="D42" s="131"/>
      <c r="E42" s="131"/>
      <c r="F42" s="131"/>
    </row>
    <row r="43" spans="1:6">
      <c r="A43" s="143" t="s">
        <v>8</v>
      </c>
      <c r="C43" s="131"/>
      <c r="D43" s="143" t="s">
        <v>7</v>
      </c>
      <c r="E43" s="131"/>
      <c r="F43" s="144"/>
    </row>
    <row r="44" spans="1:6">
      <c r="A44" s="131"/>
      <c r="B44" s="131"/>
      <c r="C44" s="131"/>
      <c r="D44" s="131"/>
      <c r="E44" s="131"/>
      <c r="F44" s="131"/>
    </row>
    <row r="45" spans="1:6">
      <c r="A45" s="131"/>
      <c r="B45" s="131"/>
      <c r="C45" s="131"/>
      <c r="D45" s="131"/>
      <c r="E45" s="131"/>
      <c r="F45" s="131"/>
    </row>
    <row r="46" spans="1:6">
      <c r="A46" s="131"/>
      <c r="B46" s="131"/>
      <c r="C46" s="131"/>
      <c r="D46" s="131"/>
      <c r="E46" s="131"/>
      <c r="F46" s="131"/>
    </row>
    <row r="47" spans="1:6">
      <c r="A47" s="142"/>
      <c r="B47" s="142"/>
      <c r="C47" s="131"/>
      <c r="D47" s="142"/>
      <c r="E47" s="142"/>
      <c r="F47" s="142"/>
    </row>
    <row r="48" spans="1:6" s="109" customFormat="1" ht="17.100000000000001" customHeight="1">
      <c r="A48" s="145" t="s">
        <v>2948</v>
      </c>
      <c r="B48" s="146"/>
      <c r="C48" s="147"/>
      <c r="D48" s="147" t="s">
        <v>3</v>
      </c>
      <c r="E48" s="147"/>
      <c r="F48" s="147"/>
    </row>
    <row r="49" spans="1:6">
      <c r="A49" s="131"/>
      <c r="B49" s="131"/>
      <c r="C49" s="131"/>
      <c r="D49" s="131" t="s">
        <v>2</v>
      </c>
      <c r="E49" s="131"/>
      <c r="F49" s="131"/>
    </row>
    <row r="50" spans="1:6">
      <c r="A50" s="145"/>
      <c r="B50" s="131"/>
      <c r="C50" s="131"/>
      <c r="D50" s="131"/>
      <c r="E50" s="131"/>
      <c r="F50" s="131"/>
    </row>
    <row r="51" spans="1:6">
      <c r="A51" s="131"/>
      <c r="B51" s="131"/>
      <c r="C51" s="131"/>
      <c r="D51" s="110" t="s">
        <v>1</v>
      </c>
      <c r="E51" s="131"/>
      <c r="F51" s="131"/>
    </row>
    <row r="52" spans="1:6">
      <c r="A52" s="131"/>
      <c r="B52" s="131"/>
      <c r="C52" s="131"/>
      <c r="D52" s="110" t="s">
        <v>0</v>
      </c>
      <c r="E52" s="131"/>
      <c r="F52" s="131"/>
    </row>
    <row r="53" spans="1:6">
      <c r="A53" s="131"/>
      <c r="B53" s="131"/>
      <c r="C53" s="131"/>
      <c r="D53" s="131"/>
      <c r="E53" s="131"/>
      <c r="F53" s="131"/>
    </row>
    <row r="54" spans="1:6">
      <c r="A54" s="131"/>
      <c r="B54" s="131"/>
      <c r="C54" s="131"/>
      <c r="D54" s="131"/>
      <c r="E54" s="131"/>
      <c r="F54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1-000000000000}">
  <sheetPr codeName="Sheet382"/>
  <dimension ref="A1:U63"/>
  <sheetViews>
    <sheetView view="pageBreakPreview" topLeftCell="A10" zoomScaleNormal="100" zoomScaleSheetLayoutView="100" workbookViewId="0">
      <selection activeCell="G9" sqref="G9:G13"/>
    </sheetView>
  </sheetViews>
  <sheetFormatPr defaultRowHeight="12.75"/>
  <cols>
    <col min="1" max="1" width="15.28515625" style="131" customWidth="1"/>
    <col min="2" max="2" width="15.85546875" style="131" customWidth="1"/>
    <col min="3" max="3" width="1.28515625" style="131" customWidth="1"/>
    <col min="4" max="4" width="21" style="131" customWidth="1"/>
    <col min="5" max="5" width="1.28515625" style="131" customWidth="1"/>
    <col min="6" max="6" width="13.28515625" style="131" customWidth="1"/>
    <col min="7" max="7" width="9" style="131" customWidth="1"/>
    <col min="8" max="8" width="13.28515625" style="131" customWidth="1"/>
    <col min="9" max="9" width="9.140625" style="86"/>
    <col min="10" max="10" width="9.42578125" style="86" bestFit="1" customWidth="1"/>
    <col min="11" max="11" width="10" style="86" bestFit="1" customWidth="1"/>
    <col min="12" max="12" width="10.42578125" style="86" bestFit="1" customWidth="1"/>
    <col min="13" max="13" width="9.140625" style="86"/>
    <col min="14" max="14" width="10.85546875" style="86" customWidth="1"/>
    <col min="15" max="16384" width="9.140625" style="86"/>
  </cols>
  <sheetData>
    <row r="1" spans="1:19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9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9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9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19">
      <c r="A8" s="131" t="s">
        <v>24</v>
      </c>
      <c r="F8" s="87" t="s">
        <v>23</v>
      </c>
      <c r="J8" s="86" t="s">
        <v>6812</v>
      </c>
      <c r="K8" s="86">
        <v>44028</v>
      </c>
      <c r="L8" s="86" t="s">
        <v>1270</v>
      </c>
    </row>
    <row r="9" spans="1:19">
      <c r="F9" s="132" t="s">
        <v>1110</v>
      </c>
      <c r="G9" s="111" t="s">
        <v>6812</v>
      </c>
    </row>
    <row r="10" spans="1:19">
      <c r="A10" s="131" t="s">
        <v>2832</v>
      </c>
      <c r="F10" s="132" t="s">
        <v>1685</v>
      </c>
      <c r="G10" s="484" t="s">
        <v>6813</v>
      </c>
    </row>
    <row r="11" spans="1:19">
      <c r="A11" s="131" t="s">
        <v>6346</v>
      </c>
      <c r="F11" s="132" t="s">
        <v>1163</v>
      </c>
      <c r="G11" s="112" t="s">
        <v>1094</v>
      </c>
      <c r="K11" s="509">
        <f>53227.96/17601.84</f>
        <v>3.0239997636610716</v>
      </c>
    </row>
    <row r="12" spans="1:19">
      <c r="A12" s="131" t="s">
        <v>6347</v>
      </c>
      <c r="F12" s="132" t="s">
        <v>1188</v>
      </c>
      <c r="G12" s="120" t="s">
        <v>1270</v>
      </c>
      <c r="P12" s="86" t="s">
        <v>2847</v>
      </c>
    </row>
    <row r="13" spans="1:19">
      <c r="A13" s="131" t="s">
        <v>6348</v>
      </c>
      <c r="K13" s="333"/>
    </row>
    <row r="14" spans="1:19">
      <c r="N14" s="86" t="s">
        <v>3282</v>
      </c>
      <c r="O14" s="86" t="s">
        <v>3343</v>
      </c>
      <c r="P14" s="86" t="s">
        <v>3345</v>
      </c>
      <c r="S14" s="86">
        <v>166002.99008399999</v>
      </c>
    </row>
    <row r="15" spans="1:19">
      <c r="J15" s="418">
        <f>32000/150450*100%</f>
        <v>0.21269524759056166</v>
      </c>
      <c r="K15" s="417">
        <f>22450/150450/100%</f>
        <v>0.14921900963775342</v>
      </c>
      <c r="P15" s="86" t="s">
        <v>3344</v>
      </c>
    </row>
    <row r="16" spans="1:19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  <c r="P16" s="95" t="s">
        <v>2848</v>
      </c>
    </row>
    <row r="17" spans="1:21">
      <c r="A17" s="177"/>
    </row>
    <row r="18" spans="1:21">
      <c r="D18" s="110" t="s">
        <v>6815</v>
      </c>
      <c r="E18" s="110"/>
      <c r="P18" s="86" t="s">
        <v>3346</v>
      </c>
    </row>
    <row r="19" spans="1:21">
      <c r="D19" s="491"/>
    </row>
    <row r="20" spans="1:21">
      <c r="A20" s="492" t="s">
        <v>6474</v>
      </c>
      <c r="B20" s="306" t="s">
        <v>6814</v>
      </c>
      <c r="C20" s="158"/>
      <c r="D20" s="131" t="s">
        <v>6816</v>
      </c>
      <c r="H20" s="149">
        <f>181814.4*3.1033</f>
        <v>564224.62751999998</v>
      </c>
      <c r="J20" s="86">
        <v>28854.240000000002</v>
      </c>
      <c r="K20" s="86">
        <v>3145.76</v>
      </c>
      <c r="L20" s="86">
        <f>J20+K20</f>
        <v>32000</v>
      </c>
      <c r="P20" s="86" t="s">
        <v>1697</v>
      </c>
      <c r="S20" s="86">
        <v>10</v>
      </c>
    </row>
    <row r="21" spans="1:21">
      <c r="A21" s="158"/>
      <c r="B21" s="140"/>
      <c r="C21" s="140"/>
      <c r="D21" s="200" t="s">
        <v>6817</v>
      </c>
      <c r="E21" s="200"/>
      <c r="J21" s="86">
        <v>28854.240000000002</v>
      </c>
      <c r="K21" s="86">
        <v>3145.76</v>
      </c>
      <c r="L21" s="86">
        <f>J21+K21</f>
        <v>32000</v>
      </c>
    </row>
    <row r="22" spans="1:21">
      <c r="A22" s="158"/>
      <c r="B22" s="141"/>
      <c r="C22" s="141"/>
      <c r="H22" s="419"/>
      <c r="J22" s="86">
        <v>28854.240000000002</v>
      </c>
      <c r="K22" s="86">
        <v>3145.76</v>
      </c>
      <c r="L22" s="86">
        <f>J22+K22</f>
        <v>32000</v>
      </c>
      <c r="P22" s="86" t="s">
        <v>1814</v>
      </c>
      <c r="S22" s="86">
        <v>0.6</v>
      </c>
    </row>
    <row r="23" spans="1:21">
      <c r="D23" s="499" t="s">
        <v>1697</v>
      </c>
      <c r="F23" s="86"/>
      <c r="G23" s="86"/>
      <c r="H23" s="149">
        <v>10</v>
      </c>
      <c r="J23" s="86">
        <v>28854.240000000002</v>
      </c>
      <c r="K23" s="86">
        <v>3145.76</v>
      </c>
      <c r="L23" s="86">
        <f>J23+K23</f>
        <v>32000</v>
      </c>
    </row>
    <row r="24" spans="1:21">
      <c r="J24" s="86">
        <v>20243.099999999999</v>
      </c>
      <c r="K24" s="86">
        <v>2206.9</v>
      </c>
      <c r="L24" s="86">
        <f>J24+K24</f>
        <v>22450</v>
      </c>
    </row>
    <row r="25" spans="1:21">
      <c r="D25" s="200" t="s">
        <v>6818</v>
      </c>
    </row>
    <row r="27" spans="1:21">
      <c r="J27" s="488" t="s">
        <v>6365</v>
      </c>
    </row>
    <row r="28" spans="1:21">
      <c r="A28" s="254"/>
      <c r="B28" s="141"/>
      <c r="C28" s="141"/>
      <c r="J28" s="488" t="s">
        <v>6349</v>
      </c>
      <c r="K28" s="488"/>
      <c r="L28" s="488"/>
      <c r="M28" s="488"/>
      <c r="N28" s="149">
        <f>11828.42*3.075</f>
        <v>36372.391500000005</v>
      </c>
      <c r="O28" s="131"/>
      <c r="P28" s="131"/>
      <c r="Q28" s="110" t="s">
        <v>2847</v>
      </c>
      <c r="R28" s="110"/>
      <c r="S28" s="131"/>
      <c r="T28" s="131"/>
      <c r="U28" s="131"/>
    </row>
    <row r="29" spans="1:21">
      <c r="J29" s="200" t="s">
        <v>6350</v>
      </c>
      <c r="K29" s="200"/>
      <c r="L29" s="488"/>
      <c r="M29" s="488"/>
      <c r="N29" s="488"/>
      <c r="O29" s="131"/>
      <c r="P29" s="131"/>
      <c r="Q29" s="131"/>
      <c r="R29" s="131"/>
      <c r="S29" s="131"/>
      <c r="T29" s="131"/>
      <c r="U29" s="131"/>
    </row>
    <row r="30" spans="1:21">
      <c r="J30" s="488"/>
      <c r="K30" s="488"/>
      <c r="L30" s="488"/>
      <c r="M30" s="488"/>
      <c r="N30" s="419"/>
      <c r="O30" s="158" t="s">
        <v>3846</v>
      </c>
      <c r="P30" s="158"/>
      <c r="Q30" s="131" t="s">
        <v>3894</v>
      </c>
      <c r="R30" s="131"/>
      <c r="S30" s="131"/>
      <c r="T30" s="131"/>
      <c r="U30" s="131">
        <f>71537.26*3.02309999</f>
        <v>216264.28999062738</v>
      </c>
    </row>
    <row r="31" spans="1:21">
      <c r="A31" s="158"/>
      <c r="B31" s="141"/>
      <c r="C31" s="141"/>
      <c r="J31" s="499" t="s">
        <v>1697</v>
      </c>
      <c r="K31" s="488"/>
      <c r="N31" s="149">
        <v>10</v>
      </c>
      <c r="O31" s="140"/>
      <c r="P31" s="140"/>
      <c r="Q31" s="200" t="s">
        <v>3847</v>
      </c>
      <c r="R31" s="200"/>
      <c r="S31" s="131"/>
      <c r="T31" s="131"/>
      <c r="U31" s="131"/>
    </row>
    <row r="32" spans="1:21" hidden="1">
      <c r="D32" s="200"/>
      <c r="E32" s="200"/>
      <c r="J32" s="488"/>
      <c r="K32" s="488"/>
      <c r="L32" s="488"/>
      <c r="M32" s="488"/>
      <c r="N32" s="488"/>
      <c r="O32" s="141"/>
      <c r="P32" s="141"/>
      <c r="Q32" s="131"/>
      <c r="R32" s="131"/>
      <c r="S32" s="131"/>
      <c r="T32" s="131"/>
      <c r="U32" s="131"/>
    </row>
    <row r="33" spans="1:21" hidden="1">
      <c r="A33" s="158"/>
      <c r="B33" s="141"/>
      <c r="C33" s="141"/>
      <c r="J33" s="200" t="s">
        <v>6351</v>
      </c>
      <c r="K33" s="488"/>
      <c r="L33" s="488"/>
      <c r="M33" s="488"/>
      <c r="N33" s="488"/>
      <c r="O33" s="131"/>
      <c r="P33" s="131"/>
      <c r="Q33" s="131" t="s">
        <v>3895</v>
      </c>
      <c r="R33" s="131"/>
    </row>
    <row r="34" spans="1:21" hidden="1">
      <c r="A34" s="158"/>
      <c r="B34" s="141"/>
      <c r="C34" s="141"/>
      <c r="D34" s="110"/>
      <c r="E34" s="110"/>
      <c r="J34" s="488"/>
      <c r="K34" s="488"/>
      <c r="L34" s="488"/>
      <c r="M34" s="488"/>
      <c r="N34" s="488"/>
      <c r="O34" s="131"/>
      <c r="P34" s="131"/>
      <c r="Q34" s="131"/>
      <c r="R34" s="131"/>
      <c r="S34" s="131"/>
      <c r="T34" s="131"/>
      <c r="U34" s="131"/>
    </row>
    <row r="35" spans="1:21" hidden="1">
      <c r="A35" s="254"/>
      <c r="B35" s="140"/>
      <c r="C35" s="140"/>
      <c r="D35" s="86"/>
      <c r="E35" s="86"/>
      <c r="F35" s="86"/>
      <c r="G35" s="86"/>
      <c r="H35" s="86"/>
      <c r="N35" s="254"/>
      <c r="O35" s="141"/>
      <c r="P35" s="141"/>
      <c r="Q35" s="131" t="s">
        <v>1697</v>
      </c>
      <c r="R35" s="131"/>
      <c r="S35" s="131"/>
      <c r="T35" s="131"/>
      <c r="U35" s="131">
        <v>10</v>
      </c>
    </row>
    <row r="36" spans="1:21" hidden="1">
      <c r="A36" s="86"/>
      <c r="B36" s="86"/>
      <c r="C36" s="86"/>
      <c r="N36" s="131"/>
      <c r="O36" s="131"/>
      <c r="P36" s="131"/>
      <c r="Q36" s="131"/>
      <c r="R36" s="131"/>
      <c r="S36" s="131"/>
      <c r="T36" s="131"/>
      <c r="U36" s="131"/>
    </row>
    <row r="37" spans="1:21" hidden="1">
      <c r="A37" s="86"/>
      <c r="B37" s="86"/>
      <c r="C37" s="86"/>
      <c r="D37" s="200"/>
      <c r="E37" s="200"/>
      <c r="N37" s="131"/>
      <c r="O37" s="131"/>
      <c r="P37" s="131"/>
      <c r="Q37" s="131" t="s">
        <v>1814</v>
      </c>
      <c r="R37" s="131"/>
      <c r="S37" s="131"/>
      <c r="T37" s="131"/>
      <c r="U37" s="131">
        <v>0.6</v>
      </c>
    </row>
    <row r="38" spans="1:21" hidden="1">
      <c r="A38" s="254"/>
      <c r="B38" s="158"/>
      <c r="C38" s="158"/>
      <c r="D38" s="86"/>
      <c r="E38" s="86"/>
    </row>
    <row r="39" spans="1:21" hidden="1">
      <c r="A39" s="254"/>
      <c r="B39" s="158"/>
      <c r="C39" s="158"/>
    </row>
    <row r="40" spans="1:21" hidden="1">
      <c r="A40" s="254"/>
      <c r="B40" s="140"/>
      <c r="C40" s="140"/>
    </row>
    <row r="41" spans="1:21">
      <c r="A41" s="254"/>
      <c r="B41" s="140"/>
      <c r="C41" s="140"/>
    </row>
    <row r="42" spans="1:21">
      <c r="A42" s="103"/>
      <c r="B42" s="86"/>
      <c r="C42" s="86"/>
      <c r="D42" s="86"/>
      <c r="E42" s="86"/>
      <c r="F42" s="86"/>
      <c r="G42" s="86"/>
      <c r="H42" s="86"/>
    </row>
    <row r="43" spans="1:21" ht="13.5" thickBot="1">
      <c r="A43" s="177"/>
      <c r="H43" s="137">
        <f>SUM(H20:H42)</f>
        <v>564234.62751999998</v>
      </c>
      <c r="J43" s="488" t="s">
        <v>6544</v>
      </c>
      <c r="K43" s="488"/>
      <c r="L43" s="488"/>
      <c r="M43" s="488"/>
      <c r="N43" s="149">
        <f>17601.84*3.024</f>
        <v>53227.964160000003</v>
      </c>
    </row>
    <row r="44" spans="1:21" ht="13.5" thickTop="1">
      <c r="A44" s="177"/>
      <c r="J44" s="200" t="s">
        <v>6545</v>
      </c>
      <c r="K44" s="200"/>
      <c r="L44" s="488"/>
      <c r="M44" s="488"/>
      <c r="N44" s="488"/>
    </row>
    <row r="45" spans="1:21" ht="20.100000000000001" customHeight="1">
      <c r="A45" s="138" t="s">
        <v>1686</v>
      </c>
      <c r="B45" s="204" t="str">
        <f>IF(OR(H43&gt;1000000,H43&lt;=0),"",IF(H43&lt;1000,"",IF(MOD(H43,1000000)&gt;=100000,INDEX(numbers,TRUNC(MOD(H43,1000000)/100000,0)+1)&amp;" Hundred","")&amp;IF(MOD(H43,100000)&gt;=20000," "&amp;INDEX(tens,TRUNC(MOD(H43,100000)/10000,0)+1)&amp;IF(MOD(MOD(H43,100000),10000)&gt;=1000,"-"&amp;INDEX(numbers,TRUNC(MOD(MOD(H43,100000),10000)/1000,0)+1),""),IF(MOD(H43,100000)&gt;=1000," "&amp;INDEX(numbers,TRUNC(MOD(H43,100000)/1000,0)+1),""))&amp;" Thousand") &amp; IF(H43&lt;1,"Zero Dollars",IF(MOD(H43,1000)&gt;=100," "&amp;INDEX(numbers,TRUNC(MOD(H43,1000)/100,0)+1)&amp;" Hundred","")&amp;IF(MOD(H43,100)&gt;=20," "&amp;INDEX(tens,TRUNC(MOD(H43,100)/10,0)+1)&amp;IF(MOD(MOD(H43,100),10)&gt;=1,"-"&amp;INDEX(numbers,TRUNC(MOD(MOD(H43,100),10),0)+1),""),IF(MOD(H43,100)&gt;=1," "&amp;INDEX(numbers,TRUNC(MOD(H43,100),0)+1),""))&amp;"") &amp; " and " &amp; IF(MOD(H43,1)&lt;0.005,"NO",ROUND(MOD(H43,1)*100,0)) &amp; "/100 -----------")</f>
        <v>Five Hundred Sixty-Four Thousand Two Hundred Thirty-Four and 63/100 -----------</v>
      </c>
      <c r="C45" s="204"/>
      <c r="D45" s="139"/>
      <c r="E45" s="139"/>
      <c r="F45" s="139"/>
      <c r="G45" s="139"/>
      <c r="H45" s="139"/>
      <c r="J45" s="488"/>
      <c r="K45" s="488"/>
      <c r="L45" s="488"/>
      <c r="M45" s="488"/>
      <c r="N45" s="419"/>
      <c r="O45" s="131"/>
      <c r="P45" s="131"/>
      <c r="Q45" s="110" t="s">
        <v>4411</v>
      </c>
      <c r="R45" s="110"/>
      <c r="S45" s="131"/>
      <c r="T45" s="131"/>
      <c r="U45" s="131"/>
    </row>
    <row r="46" spans="1:21">
      <c r="A46" s="226"/>
      <c r="J46" s="499" t="s">
        <v>1697</v>
      </c>
      <c r="K46" s="488"/>
      <c r="N46" s="149">
        <v>10</v>
      </c>
      <c r="O46" s="131"/>
      <c r="P46" s="131"/>
      <c r="Q46" s="131"/>
      <c r="R46" s="131"/>
      <c r="S46" s="131"/>
      <c r="T46" s="131"/>
      <c r="U46" s="131"/>
    </row>
    <row r="47" spans="1:21" ht="25.5">
      <c r="A47" s="131" t="s">
        <v>10</v>
      </c>
      <c r="D47" s="488" t="s">
        <v>8</v>
      </c>
      <c r="F47" s="265" t="s">
        <v>2894</v>
      </c>
      <c r="G47" s="266"/>
      <c r="H47" s="267"/>
      <c r="J47" s="488"/>
      <c r="K47" s="488"/>
      <c r="L47" s="488"/>
      <c r="M47" s="488"/>
      <c r="N47" s="488"/>
      <c r="O47" s="158" t="s">
        <v>4412</v>
      </c>
      <c r="P47" s="158"/>
      <c r="Q47" s="131" t="s">
        <v>4413</v>
      </c>
      <c r="R47" s="131"/>
      <c r="S47" s="131"/>
      <c r="T47" s="131"/>
      <c r="U47" s="131">
        <f>4316.54*3.1221</f>
        <v>13476.669534000001</v>
      </c>
    </row>
    <row r="48" spans="1:21">
      <c r="D48" s="488"/>
      <c r="J48" s="200" t="s">
        <v>6351</v>
      </c>
      <c r="K48" s="488"/>
      <c r="L48" s="488"/>
      <c r="M48" s="488"/>
      <c r="N48" s="488"/>
      <c r="O48" s="140"/>
      <c r="P48" s="140"/>
      <c r="Q48" s="200"/>
      <c r="R48" s="200"/>
      <c r="S48" s="131"/>
      <c r="T48" s="131"/>
      <c r="U48" s="131"/>
    </row>
    <row r="49" spans="1:21">
      <c r="D49" s="488"/>
      <c r="J49" s="488"/>
      <c r="K49" s="488"/>
      <c r="L49" s="488"/>
      <c r="M49" s="488"/>
      <c r="N49" s="488"/>
      <c r="O49" s="141"/>
      <c r="P49" s="141"/>
      <c r="Q49" s="131" t="s">
        <v>4414</v>
      </c>
      <c r="R49" s="131"/>
      <c r="S49" s="131"/>
      <c r="T49" s="131"/>
      <c r="U49" s="131">
        <f>1402.88*3.1221</f>
        <v>4379.9316480000007</v>
      </c>
    </row>
    <row r="50" spans="1:21">
      <c r="A50" s="131" t="s">
        <v>51</v>
      </c>
      <c r="D50" s="488"/>
      <c r="E50" s="141"/>
      <c r="N50" s="131"/>
      <c r="O50" s="131"/>
      <c r="P50" s="131"/>
      <c r="Q50" s="131"/>
      <c r="R50" s="131"/>
    </row>
    <row r="51" spans="1:21">
      <c r="A51" s="142"/>
      <c r="B51" s="142"/>
      <c r="D51" s="274"/>
      <c r="N51" s="131"/>
      <c r="O51" s="131"/>
      <c r="P51" s="131"/>
      <c r="Q51" s="131" t="s">
        <v>1697</v>
      </c>
      <c r="R51" s="131"/>
      <c r="S51" s="131"/>
      <c r="T51" s="131"/>
      <c r="U51" s="131">
        <v>10</v>
      </c>
    </row>
    <row r="52" spans="1:21">
      <c r="D52" s="490" t="s">
        <v>103</v>
      </c>
      <c r="N52" s="254"/>
      <c r="O52" s="141"/>
      <c r="P52" s="141"/>
      <c r="Q52" s="131"/>
      <c r="R52" s="131"/>
      <c r="S52" s="131"/>
      <c r="T52" s="131"/>
      <c r="U52" s="131"/>
    </row>
    <row r="53" spans="1:21">
      <c r="D53" s="147"/>
      <c r="N53" s="131"/>
      <c r="O53" s="131"/>
      <c r="P53" s="131"/>
      <c r="Q53" s="131" t="s">
        <v>1814</v>
      </c>
      <c r="R53" s="131"/>
      <c r="S53" s="131"/>
      <c r="T53" s="131"/>
      <c r="U53" s="131">
        <v>0.6</v>
      </c>
    </row>
    <row r="54" spans="1:21">
      <c r="A54" s="131" t="s">
        <v>8</v>
      </c>
      <c r="D54" s="131" t="s">
        <v>8</v>
      </c>
      <c r="F54" s="143" t="s">
        <v>7</v>
      </c>
      <c r="H54" s="144"/>
      <c r="N54" s="131"/>
      <c r="O54" s="131"/>
      <c r="P54" s="131"/>
      <c r="Q54" s="131"/>
      <c r="R54" s="131"/>
      <c r="S54" s="131"/>
      <c r="T54" s="131"/>
      <c r="U54" s="131"/>
    </row>
    <row r="58" spans="1:21">
      <c r="A58" s="274"/>
      <c r="B58" s="142"/>
      <c r="D58" s="274"/>
      <c r="F58" s="142"/>
      <c r="G58" s="142"/>
      <c r="H58" s="142"/>
    </row>
    <row r="59" spans="1:21" s="109" customFormat="1" ht="17.100000000000001" customHeight="1">
      <c r="A59" s="147" t="s">
        <v>2948</v>
      </c>
      <c r="B59" s="146"/>
      <c r="C59" s="146"/>
      <c r="D59" s="147" t="s">
        <v>103</v>
      </c>
      <c r="E59" s="147"/>
      <c r="F59" s="147" t="s">
        <v>3</v>
      </c>
      <c r="G59" s="147"/>
      <c r="H59" s="147"/>
    </row>
    <row r="60" spans="1:21">
      <c r="F60" s="131" t="s">
        <v>2</v>
      </c>
    </row>
    <row r="62" spans="1:21">
      <c r="F62" s="110" t="s">
        <v>1</v>
      </c>
    </row>
    <row r="63" spans="1:21">
      <c r="F63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5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1-000000000000}">
  <sheetPr codeName="Sheet247">
    <pageSetUpPr fitToPage="1"/>
  </sheetPr>
  <dimension ref="A1:H56"/>
  <sheetViews>
    <sheetView zoomScaleNormal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" style="1" customWidth="1"/>
    <col min="4" max="4" width="28.42578125" style="1" customWidth="1"/>
    <col min="5" max="5" width="0.71093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32" t="s">
        <v>5591</v>
      </c>
      <c r="H9" s="111"/>
    </row>
    <row r="10" spans="1:8">
      <c r="A10" s="111" t="s">
        <v>2080</v>
      </c>
      <c r="B10" s="111"/>
      <c r="C10" s="111"/>
      <c r="D10" s="111"/>
      <c r="E10" s="111"/>
      <c r="F10" s="112" t="s">
        <v>1162</v>
      </c>
      <c r="G10" s="132" t="s">
        <v>5586</v>
      </c>
      <c r="H10" s="111"/>
    </row>
    <row r="11" spans="1:8">
      <c r="A11" s="111" t="s">
        <v>2081</v>
      </c>
      <c r="B11" s="111"/>
      <c r="C11" s="111"/>
      <c r="D11" s="111"/>
      <c r="E11" s="111"/>
      <c r="F11" s="112" t="s">
        <v>1163</v>
      </c>
      <c r="G11" s="132" t="s">
        <v>1094</v>
      </c>
      <c r="H11" s="111"/>
    </row>
    <row r="12" spans="1:8">
      <c r="A12" s="111" t="s">
        <v>2082</v>
      </c>
      <c r="B12" s="111"/>
      <c r="C12" s="111"/>
      <c r="D12" s="111"/>
      <c r="E12" s="111"/>
      <c r="F12" s="112" t="s">
        <v>1135</v>
      </c>
      <c r="G12" s="120" t="s">
        <v>5592</v>
      </c>
      <c r="H12" s="111"/>
    </row>
    <row r="13" spans="1:8">
      <c r="A13" s="111" t="s">
        <v>2083</v>
      </c>
      <c r="B13" s="111"/>
      <c r="C13" s="111"/>
      <c r="D13" s="111"/>
      <c r="E13" s="111"/>
      <c r="F13" s="111"/>
      <c r="G13" s="131"/>
      <c r="H13" s="111"/>
    </row>
    <row r="14" spans="1:8">
      <c r="A14" s="111" t="s">
        <v>2084</v>
      </c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2" t="s">
        <v>5053</v>
      </c>
      <c r="E18" s="2"/>
      <c r="F18" s="111"/>
      <c r="G18" s="111"/>
      <c r="H18" s="111"/>
    </row>
    <row r="19" spans="1:8">
      <c r="A19" s="116"/>
      <c r="B19" s="116"/>
      <c r="C19" s="116"/>
      <c r="D19" s="111"/>
      <c r="E19" s="111"/>
      <c r="F19" s="111"/>
      <c r="G19" s="111"/>
      <c r="H19" s="111"/>
    </row>
    <row r="20" spans="1:8">
      <c r="A20" s="116" t="s">
        <v>5494</v>
      </c>
      <c r="B20" s="116" t="s">
        <v>5593</v>
      </c>
      <c r="C20" s="116"/>
      <c r="D20" s="111" t="s">
        <v>5594</v>
      </c>
      <c r="E20" s="111"/>
      <c r="F20" s="111"/>
      <c r="G20" s="111"/>
      <c r="H20" s="111">
        <v>37600</v>
      </c>
    </row>
    <row r="21" spans="1:8">
      <c r="A21" s="111"/>
      <c r="B21" s="111"/>
      <c r="C21" s="111"/>
      <c r="D21" s="111" t="s">
        <v>5595</v>
      </c>
      <c r="E21" s="111"/>
      <c r="F21" s="111"/>
      <c r="G21" s="111"/>
      <c r="H21" s="111"/>
    </row>
    <row r="22" spans="1:8">
      <c r="A22" s="116"/>
      <c r="B22" s="116"/>
      <c r="C22" s="116"/>
      <c r="D22" s="111" t="s">
        <v>4266</v>
      </c>
      <c r="E22" s="111"/>
      <c r="F22" s="111"/>
      <c r="G22" s="111"/>
      <c r="H22" s="111"/>
    </row>
    <row r="23" spans="1:8">
      <c r="B23" s="116"/>
      <c r="C23" s="116"/>
    </row>
    <row r="24" spans="1:8">
      <c r="B24" s="116"/>
      <c r="C24" s="116"/>
      <c r="D24" s="111" t="s">
        <v>5175</v>
      </c>
      <c r="E24" s="111"/>
      <c r="H24" s="111">
        <f>H20*6%</f>
        <v>2256</v>
      </c>
    </row>
    <row r="25" spans="1:8">
      <c r="B25" s="116"/>
      <c r="C25" s="116"/>
    </row>
    <row r="26" spans="1:8">
      <c r="A26" s="111"/>
      <c r="B26" s="111"/>
      <c r="C26" s="111"/>
      <c r="D26" s="2"/>
      <c r="E26" s="2"/>
      <c r="F26" s="111"/>
      <c r="G26" s="111"/>
      <c r="H26" s="111"/>
    </row>
    <row r="27" spans="1:8">
      <c r="A27" s="116"/>
      <c r="B27" s="116"/>
      <c r="C27" s="116"/>
      <c r="D27" s="411"/>
      <c r="E27" s="111"/>
      <c r="F27" s="111"/>
      <c r="G27" s="111"/>
      <c r="H27" s="111"/>
    </row>
    <row r="28" spans="1:8">
      <c r="A28" s="116"/>
      <c r="B28" s="116"/>
      <c r="C28" s="116"/>
      <c r="D28" s="111"/>
      <c r="E28" s="111"/>
      <c r="F28" s="111"/>
      <c r="G28" s="111"/>
      <c r="H28" s="111"/>
    </row>
    <row r="29" spans="1:8">
      <c r="A29" s="111"/>
      <c r="B29" s="111"/>
      <c r="C29" s="111"/>
      <c r="D29" s="111"/>
      <c r="E29" s="111"/>
      <c r="F29" s="111"/>
      <c r="G29" s="111"/>
      <c r="H29" s="111"/>
    </row>
    <row r="30" spans="1:8">
      <c r="A30" s="116"/>
      <c r="B30" s="116"/>
      <c r="C30" s="116"/>
      <c r="D30" s="111"/>
      <c r="E30" s="111"/>
      <c r="F30" s="111"/>
      <c r="G30" s="111"/>
      <c r="H30" s="111"/>
    </row>
    <row r="31" spans="1:8">
      <c r="B31" s="116"/>
      <c r="C31" s="116"/>
    </row>
    <row r="32" spans="1:8">
      <c r="B32" s="116"/>
      <c r="C32" s="116"/>
      <c r="D32" s="111"/>
      <c r="E32" s="111"/>
      <c r="H32" s="111"/>
    </row>
    <row r="34" spans="1:8">
      <c r="A34" s="111"/>
      <c r="B34" s="111"/>
      <c r="C34" s="111"/>
      <c r="D34" s="111"/>
      <c r="E34" s="111"/>
      <c r="F34" s="111"/>
      <c r="G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39856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Thirty-Nine Thousand Eight Hundred Fifty-Six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5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1-000000000000}">
  <sheetPr codeName="Sheet248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2942</v>
      </c>
      <c r="F9" s="111"/>
    </row>
    <row r="10" spans="1:6">
      <c r="A10" s="111" t="s">
        <v>2097</v>
      </c>
      <c r="B10" s="111"/>
      <c r="C10" s="111"/>
      <c r="D10" s="112" t="s">
        <v>1162</v>
      </c>
      <c r="E10" s="123" t="s">
        <v>2917</v>
      </c>
      <c r="F10" s="111"/>
    </row>
    <row r="11" spans="1:6">
      <c r="A11" s="111" t="s">
        <v>2098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2099</v>
      </c>
      <c r="B12" s="111"/>
      <c r="C12" s="111"/>
      <c r="D12" s="112" t="s">
        <v>1096</v>
      </c>
      <c r="E12" s="120" t="s">
        <v>2946</v>
      </c>
      <c r="F12" s="111"/>
    </row>
    <row r="13" spans="1:6">
      <c r="A13" s="111" t="s">
        <v>1287</v>
      </c>
      <c r="B13" s="111"/>
      <c r="C13" s="111"/>
      <c r="D13" s="111"/>
      <c r="E13" s="111"/>
      <c r="F13" s="111"/>
    </row>
    <row r="14" spans="1:6">
      <c r="A14" s="111" t="s">
        <v>2100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6" t="s">
        <v>2938</v>
      </c>
      <c r="B18" s="121" t="s">
        <v>2939</v>
      </c>
      <c r="C18" s="111" t="s">
        <v>2940</v>
      </c>
      <c r="F18" s="111">
        <v>40</v>
      </c>
    </row>
    <row r="19" spans="1:6">
      <c r="A19" s="116"/>
      <c r="B19" s="121"/>
      <c r="C19" s="111" t="s">
        <v>2941</v>
      </c>
      <c r="F19" s="111"/>
    </row>
    <row r="21" spans="1:6">
      <c r="A21" s="111"/>
      <c r="B21" s="111"/>
      <c r="C21" s="111"/>
      <c r="D21" s="111"/>
      <c r="E21" s="111"/>
      <c r="F21" s="111"/>
    </row>
    <row r="22" spans="1:6">
      <c r="A22" s="111"/>
      <c r="B22" s="111"/>
      <c r="D22" s="111"/>
      <c r="E22" s="111"/>
      <c r="F22" s="111"/>
    </row>
    <row r="23" spans="1:6">
      <c r="A23" s="111"/>
      <c r="B23" s="111"/>
      <c r="C23" s="111"/>
      <c r="D23" s="111"/>
      <c r="E23" s="111"/>
      <c r="F23" s="111"/>
    </row>
    <row r="24" spans="1:6">
      <c r="A24" s="111"/>
      <c r="B24" s="111"/>
      <c r="C24" s="111"/>
      <c r="D24" s="111"/>
      <c r="E24" s="111"/>
      <c r="F24" s="111"/>
    </row>
    <row r="25" spans="1:6">
      <c r="A25" s="116"/>
      <c r="B25" s="116"/>
      <c r="C25" s="111"/>
      <c r="D25" s="111"/>
      <c r="E25" s="111"/>
      <c r="F25" s="111"/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SUM(F18:F32)</f>
        <v>40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Forty and NO/100 -----------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 ht="25.5">
      <c r="A37" s="111" t="s">
        <v>10</v>
      </c>
      <c r="B37" s="111"/>
      <c r="C37" s="111"/>
      <c r="D37" s="265" t="s">
        <v>2894</v>
      </c>
      <c r="E37" s="266"/>
      <c r="F37" s="267"/>
    </row>
    <row r="38" spans="1:6">
      <c r="A38" s="111"/>
      <c r="B38" s="111"/>
      <c r="C38" s="111"/>
      <c r="D38" s="111"/>
      <c r="E38" s="111"/>
      <c r="F38" s="111"/>
    </row>
    <row r="39" spans="1:6">
      <c r="A39" s="126"/>
      <c r="B39" s="111"/>
      <c r="C39" s="111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11" t="s">
        <v>2895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1-000000000000}">
  <sheetPr codeName="Sheet30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4.7109375" style="111" customWidth="1"/>
    <col min="2" max="2" width="14.42578125" style="111" customWidth="1"/>
    <col min="3" max="3" width="22.42578125" style="111" customWidth="1"/>
    <col min="4" max="4" width="12.85546875" style="111" customWidth="1"/>
    <col min="5" max="5" width="10.71093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1612</v>
      </c>
      <c r="E9" s="111" t="s">
        <v>2630</v>
      </c>
    </row>
    <row r="10" spans="1:6">
      <c r="A10" s="111" t="s">
        <v>754</v>
      </c>
      <c r="D10" s="112" t="s">
        <v>1162</v>
      </c>
      <c r="E10" s="112" t="s">
        <v>2625</v>
      </c>
    </row>
    <row r="11" spans="1:6">
      <c r="A11" s="111" t="s">
        <v>753</v>
      </c>
      <c r="D11" s="112" t="s">
        <v>1163</v>
      </c>
      <c r="E11" s="112" t="s">
        <v>1094</v>
      </c>
    </row>
    <row r="12" spans="1:6">
      <c r="A12" s="111" t="s">
        <v>752</v>
      </c>
      <c r="D12" s="112" t="s">
        <v>1096</v>
      </c>
      <c r="E12" s="112" t="s">
        <v>2631</v>
      </c>
    </row>
    <row r="13" spans="1:6">
      <c r="A13" s="111" t="s">
        <v>751</v>
      </c>
    </row>
    <row r="14" spans="1:6">
      <c r="A14" s="111" t="s">
        <v>750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8" spans="1:6">
      <c r="A18" s="148"/>
      <c r="C18" s="2" t="s">
        <v>749</v>
      </c>
      <c r="F18" s="149"/>
    </row>
    <row r="19" spans="1:6">
      <c r="A19" s="148"/>
      <c r="C19" s="111" t="s">
        <v>1617</v>
      </c>
      <c r="F19" s="149"/>
    </row>
    <row r="20" spans="1:6">
      <c r="A20" s="148" t="s">
        <v>1614</v>
      </c>
      <c r="C20" s="111" t="s">
        <v>1618</v>
      </c>
      <c r="F20" s="149"/>
    </row>
    <row r="21" spans="1:6">
      <c r="A21" s="115"/>
      <c r="C21" s="111" t="s">
        <v>2632</v>
      </c>
      <c r="F21" s="149"/>
    </row>
    <row r="22" spans="1:6">
      <c r="A22" s="115"/>
      <c r="C22" s="111" t="s">
        <v>2636</v>
      </c>
      <c r="F22" s="149"/>
    </row>
    <row r="23" spans="1:6">
      <c r="A23" s="148"/>
    </row>
    <row r="24" spans="1:6">
      <c r="A24" s="148"/>
      <c r="C24" s="111" t="s">
        <v>1619</v>
      </c>
      <c r="F24" s="149">
        <v>1188.5</v>
      </c>
    </row>
    <row r="25" spans="1:6">
      <c r="A25" s="148"/>
      <c r="B25" s="120"/>
      <c r="C25" s="111" t="s">
        <v>2634</v>
      </c>
      <c r="F25" s="111">
        <f>-F24*45%</f>
        <v>-534.82500000000005</v>
      </c>
    </row>
    <row r="26" spans="1:6">
      <c r="A26" s="148"/>
      <c r="B26" s="120"/>
      <c r="C26" s="111" t="s">
        <v>1620</v>
      </c>
      <c r="F26" s="149">
        <v>50</v>
      </c>
    </row>
    <row r="27" spans="1:6">
      <c r="A27" s="148"/>
      <c r="C27" s="111" t="s">
        <v>2633</v>
      </c>
      <c r="F27" s="149">
        <v>-70.37</v>
      </c>
    </row>
    <row r="28" spans="1:6">
      <c r="A28" s="148"/>
      <c r="C28" s="111" t="s">
        <v>1621</v>
      </c>
      <c r="F28" s="111">
        <v>38</v>
      </c>
    </row>
    <row r="29" spans="1:6">
      <c r="C29" s="111" t="s">
        <v>1613</v>
      </c>
      <c r="F29" s="111">
        <v>10</v>
      </c>
    </row>
    <row r="30" spans="1:6">
      <c r="C30" s="111" t="s">
        <v>2155</v>
      </c>
      <c r="F30" s="111">
        <v>137.19999999999999</v>
      </c>
    </row>
    <row r="31" spans="1:6">
      <c r="C31" s="111" t="s">
        <v>1630</v>
      </c>
      <c r="F31" s="111">
        <v>-0.01</v>
      </c>
    </row>
    <row r="33" spans="1:6" ht="13.5" thickBot="1">
      <c r="F33" s="127">
        <f>SUM(F20:F32)</f>
        <v>818.49499999999989</v>
      </c>
    </row>
    <row r="34" spans="1:6" ht="13.5" thickTop="1"/>
    <row r="35" spans="1:6" ht="20.100000000000001" customHeight="1">
      <c r="A35" s="118" t="s">
        <v>204</v>
      </c>
      <c r="B35" s="118" t="s">
        <v>2635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1-000000000000}">
  <sheetPr codeName="Sheet71">
    <pageSetUpPr fitToPage="1"/>
  </sheetPr>
  <dimension ref="A1:F52"/>
  <sheetViews>
    <sheetView topLeftCell="A13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764</v>
      </c>
    </row>
    <row r="10" spans="1:6">
      <c r="A10" s="1" t="s">
        <v>763</v>
      </c>
      <c r="D10" s="21" t="s">
        <v>21</v>
      </c>
      <c r="E10" s="21" t="s">
        <v>29</v>
      </c>
    </row>
    <row r="11" spans="1:6">
      <c r="A11" s="1" t="s">
        <v>762</v>
      </c>
      <c r="D11" s="21" t="s">
        <v>19</v>
      </c>
      <c r="E11" s="21" t="s">
        <v>18</v>
      </c>
    </row>
    <row r="12" spans="1:6">
      <c r="A12" s="1" t="s">
        <v>376</v>
      </c>
      <c r="D12" s="21" t="s">
        <v>17</v>
      </c>
      <c r="E12" s="20" t="s">
        <v>761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3"/>
    </row>
    <row r="20" spans="1:6">
      <c r="C20" s="13"/>
    </row>
    <row r="21" spans="1:6">
      <c r="C21" s="13"/>
    </row>
    <row r="22" spans="1:6">
      <c r="A22" s="1" t="s">
        <v>760</v>
      </c>
      <c r="C22" s="13" t="s">
        <v>759</v>
      </c>
      <c r="F22" s="1">
        <v>3500</v>
      </c>
    </row>
    <row r="23" spans="1:6">
      <c r="C23" s="13" t="s">
        <v>758</v>
      </c>
    </row>
    <row r="25" spans="1:6">
      <c r="C25" s="13" t="s">
        <v>757</v>
      </c>
      <c r="F25" s="1">
        <v>1100</v>
      </c>
    </row>
    <row r="26" spans="1:6">
      <c r="C26" s="13" t="s">
        <v>756</v>
      </c>
    </row>
    <row r="28" spans="1:6">
      <c r="C28" s="13"/>
    </row>
    <row r="29" spans="1:6">
      <c r="C29" s="13"/>
    </row>
    <row r="30" spans="1:6">
      <c r="C30" s="13"/>
    </row>
    <row r="33" spans="1:6" ht="13.5" thickBot="1">
      <c r="F33" s="33">
        <f>SUM(F20:F32)</f>
        <v>4600</v>
      </c>
    </row>
    <row r="34" spans="1:6" ht="13.5" thickTop="1"/>
    <row r="35" spans="1:6" ht="20.100000000000001" customHeight="1">
      <c r="A35" s="10" t="s">
        <v>755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1-000000000000}">
  <sheetPr codeName="Sheet460">
    <pageSetUpPr fitToPage="1"/>
  </sheetPr>
  <dimension ref="A1:H55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" style="111" customWidth="1"/>
    <col min="4" max="4" width="22.42578125" style="111" customWidth="1"/>
    <col min="5" max="5" width="0.8554687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32" t="s">
        <v>4549</v>
      </c>
    </row>
    <row r="10" spans="1:8">
      <c r="A10" s="111" t="s">
        <v>4308</v>
      </c>
      <c r="F10" s="112" t="s">
        <v>1180</v>
      </c>
      <c r="G10" s="132" t="s">
        <v>4548</v>
      </c>
    </row>
    <row r="11" spans="1:8">
      <c r="A11" s="111" t="s">
        <v>4309</v>
      </c>
      <c r="F11" s="112" t="s">
        <v>1181</v>
      </c>
      <c r="G11" s="132" t="s">
        <v>1094</v>
      </c>
    </row>
    <row r="12" spans="1:8">
      <c r="A12" s="111" t="s">
        <v>4310</v>
      </c>
      <c r="F12" s="112" t="s">
        <v>1182</v>
      </c>
      <c r="G12" s="111" t="s">
        <v>1270</v>
      </c>
    </row>
    <row r="13" spans="1:8">
      <c r="A13" s="111" t="s">
        <v>4311</v>
      </c>
    </row>
    <row r="16" spans="1:8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A18" s="161"/>
      <c r="B18" s="121"/>
      <c r="C18" s="121"/>
      <c r="D18" s="2" t="s">
        <v>4157</v>
      </c>
      <c r="E18" s="2"/>
    </row>
    <row r="20" spans="1:8">
      <c r="A20" s="116" t="s">
        <v>4550</v>
      </c>
      <c r="B20" s="116" t="s">
        <v>4551</v>
      </c>
      <c r="C20" s="116"/>
      <c r="D20" s="111" t="s">
        <v>4461</v>
      </c>
    </row>
    <row r="21" spans="1:8">
      <c r="D21" s="111" t="s">
        <v>4552</v>
      </c>
      <c r="H21" s="111">
        <v>755</v>
      </c>
    </row>
    <row r="22" spans="1:8">
      <c r="A22" s="116"/>
      <c r="B22" s="121"/>
      <c r="C22" s="121"/>
      <c r="D22" s="111" t="s">
        <v>4553</v>
      </c>
      <c r="H22" s="111">
        <v>214</v>
      </c>
    </row>
    <row r="23" spans="1:8">
      <c r="A23" s="116"/>
      <c r="B23" s="121"/>
      <c r="C23" s="121"/>
      <c r="D23" s="111" t="s">
        <v>4554</v>
      </c>
      <c r="H23" s="111">
        <v>89</v>
      </c>
    </row>
    <row r="24" spans="1:8">
      <c r="A24" s="116"/>
      <c r="B24" s="121"/>
      <c r="C24" s="121"/>
    </row>
    <row r="25" spans="1:8">
      <c r="D25" s="111" t="s">
        <v>1697</v>
      </c>
      <c r="H25" s="111">
        <v>10</v>
      </c>
    </row>
    <row r="27" spans="1:8">
      <c r="A27" s="116"/>
      <c r="B27" s="121"/>
      <c r="C27" s="121"/>
      <c r="D27" s="111" t="s">
        <v>1814</v>
      </c>
      <c r="H27" s="111">
        <f>H25*6%</f>
        <v>0.6</v>
      </c>
    </row>
    <row r="28" spans="1:8">
      <c r="A28" s="255"/>
      <c r="B28" s="121"/>
      <c r="C28" s="121"/>
    </row>
    <row r="29" spans="1:8">
      <c r="A29" s="255"/>
      <c r="B29" s="121"/>
      <c r="C29" s="121"/>
    </row>
    <row r="30" spans="1:8">
      <c r="A30" s="255"/>
      <c r="B30" s="121"/>
      <c r="C30" s="121"/>
    </row>
    <row r="31" spans="1:8">
      <c r="A31" s="255"/>
      <c r="B31" s="121"/>
      <c r="C31" s="121"/>
    </row>
    <row r="32" spans="1:8">
      <c r="A32" s="255"/>
      <c r="B32" s="121"/>
      <c r="C32" s="121"/>
    </row>
    <row r="33" spans="1:8">
      <c r="A33" s="125"/>
      <c r="B33" s="121"/>
      <c r="C33" s="121"/>
    </row>
    <row r="34" spans="1:8">
      <c r="A34" s="116"/>
      <c r="B34" s="121"/>
      <c r="C34" s="121"/>
    </row>
    <row r="35" spans="1:8">
      <c r="A35" s="116"/>
      <c r="B35" s="121"/>
      <c r="C35" s="121"/>
      <c r="H35" s="122"/>
    </row>
    <row r="36" spans="1:8" ht="13.5" thickBot="1">
      <c r="B36" s="121"/>
      <c r="C36" s="121"/>
      <c r="H36" s="127">
        <f>SUM(H18:H34)</f>
        <v>1068.5999999999999</v>
      </c>
    </row>
    <row r="37" spans="1:8" ht="13.5" thickTop="1"/>
    <row r="38" spans="1:8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One Thousand Sixty-Eight and 60/100 -----------</v>
      </c>
      <c r="C38" s="202"/>
      <c r="D38" s="119"/>
      <c r="E38" s="119"/>
      <c r="F38" s="119"/>
      <c r="G38" s="119"/>
      <c r="H38" s="119"/>
    </row>
    <row r="39" spans="1:8">
      <c r="A39" s="120" t="s">
        <v>11</v>
      </c>
    </row>
    <row r="40" spans="1:8" ht="25.5">
      <c r="A40" s="126" t="s">
        <v>10</v>
      </c>
      <c r="F40" s="265" t="s">
        <v>2894</v>
      </c>
      <c r="G40" s="266"/>
      <c r="H40" s="267"/>
    </row>
    <row r="43" spans="1:8">
      <c r="A43" s="111" t="s">
        <v>52</v>
      </c>
      <c r="D43" s="121"/>
      <c r="E43" s="121"/>
    </row>
    <row r="44" spans="1:8">
      <c r="A44" s="122"/>
      <c r="B44" s="122"/>
    </row>
    <row r="46" spans="1:8">
      <c r="A46" s="123" t="s">
        <v>8</v>
      </c>
      <c r="D46" s="123" t="s">
        <v>8</v>
      </c>
      <c r="F46" s="123" t="s">
        <v>7</v>
      </c>
      <c r="H46" s="124"/>
    </row>
    <row r="50" spans="1:8">
      <c r="A50" s="122" t="s">
        <v>51</v>
      </c>
      <c r="B50" s="122"/>
      <c r="D50" s="122" t="s">
        <v>51</v>
      </c>
      <c r="F50" s="122"/>
      <c r="G50" s="122"/>
      <c r="H50" s="122"/>
    </row>
    <row r="51" spans="1:8" s="126" customFormat="1" ht="17.100000000000001" customHeight="1">
      <c r="A51" s="151" t="s">
        <v>2948</v>
      </c>
      <c r="B51" s="125"/>
      <c r="C51" s="125"/>
      <c r="D51" s="151" t="s">
        <v>103</v>
      </c>
      <c r="F51" s="126" t="s">
        <v>3</v>
      </c>
    </row>
    <row r="52" spans="1:8">
      <c r="F52" s="111" t="s">
        <v>2</v>
      </c>
    </row>
    <row r="54" spans="1:8">
      <c r="F54" s="2" t="s">
        <v>1</v>
      </c>
    </row>
    <row r="55" spans="1:8">
      <c r="F55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1-000000000000}">
  <sheetPr codeName="Sheet461">
    <pageSetUpPr fitToPage="1"/>
  </sheetPr>
  <dimension ref="A1:I59"/>
  <sheetViews>
    <sheetView workbookViewId="0">
      <selection activeCell="G9" sqref="G9:G13"/>
    </sheetView>
  </sheetViews>
  <sheetFormatPr defaultRowHeight="12.75"/>
  <cols>
    <col min="1" max="1" width="15.85546875" style="1" customWidth="1"/>
    <col min="2" max="2" width="17.140625" style="1" customWidth="1"/>
    <col min="3" max="3" width="0.85546875" style="1" customWidth="1"/>
    <col min="4" max="4" width="21" style="1" customWidth="1"/>
    <col min="5" max="5" width="0.85546875" style="1" customWidth="1"/>
    <col min="6" max="6" width="12.140625" style="1" customWidth="1"/>
    <col min="7" max="7" width="10.140625" style="1" customWidth="1"/>
    <col min="8" max="8" width="13.7109375" style="1" customWidth="1"/>
    <col min="9" max="16384" width="9.140625" style="1"/>
  </cols>
  <sheetData>
    <row r="1" spans="1:9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9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9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9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9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  <c r="I8" s="111"/>
    </row>
    <row r="9" spans="1:9">
      <c r="A9" s="111" t="s">
        <v>4285</v>
      </c>
      <c r="B9" s="111"/>
      <c r="C9" s="111"/>
      <c r="D9" s="111"/>
      <c r="E9" s="111"/>
      <c r="F9" s="112" t="s">
        <v>1221</v>
      </c>
      <c r="G9" s="111" t="s">
        <v>4283</v>
      </c>
      <c r="H9" s="111"/>
      <c r="I9" s="111"/>
    </row>
    <row r="10" spans="1:9">
      <c r="A10" s="111" t="s">
        <v>4288</v>
      </c>
      <c r="B10" s="111"/>
      <c r="C10" s="111"/>
      <c r="D10" s="111"/>
      <c r="E10" s="111"/>
      <c r="F10" s="112" t="s">
        <v>1124</v>
      </c>
      <c r="G10" s="112" t="s">
        <v>4284</v>
      </c>
      <c r="H10" s="111"/>
      <c r="I10" s="111"/>
    </row>
    <row r="11" spans="1:9">
      <c r="A11" s="111" t="s">
        <v>4286</v>
      </c>
      <c r="B11" s="111"/>
      <c r="C11" s="111"/>
      <c r="D11" s="111"/>
      <c r="E11" s="111"/>
      <c r="F11" s="112" t="s">
        <v>1125</v>
      </c>
      <c r="G11" s="112" t="s">
        <v>1094</v>
      </c>
      <c r="H11" s="111"/>
      <c r="I11" s="111"/>
    </row>
    <row r="12" spans="1:9">
      <c r="A12" s="111" t="s">
        <v>4287</v>
      </c>
      <c r="B12" s="111"/>
      <c r="C12" s="111"/>
      <c r="D12" s="111"/>
      <c r="E12" s="111"/>
      <c r="F12" s="112" t="s">
        <v>1126</v>
      </c>
      <c r="G12" s="120" t="s">
        <v>1270</v>
      </c>
      <c r="H12" s="111"/>
      <c r="I12" s="111"/>
    </row>
    <row r="13" spans="1:9">
      <c r="A13" s="111"/>
      <c r="B13" s="111"/>
      <c r="C13" s="111"/>
      <c r="D13" s="111"/>
      <c r="E13" s="111"/>
      <c r="F13" s="111"/>
      <c r="G13" s="111"/>
      <c r="H13" s="111"/>
      <c r="I13" s="111"/>
    </row>
    <row r="14" spans="1:9">
      <c r="A14" s="111"/>
      <c r="B14" s="111"/>
      <c r="C14" s="111"/>
      <c r="D14" s="111"/>
      <c r="E14" s="111"/>
      <c r="F14" s="111"/>
      <c r="G14" s="111"/>
      <c r="H14" s="111"/>
      <c r="I14" s="111"/>
    </row>
    <row r="15" spans="1:9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9" s="15" customFormat="1" ht="20.100000000000001" customHeight="1">
      <c r="A16" s="129" t="s">
        <v>1140</v>
      </c>
      <c r="B16" s="129" t="s">
        <v>1098</v>
      </c>
      <c r="C16" s="18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  <c r="I17" s="111"/>
    </row>
    <row r="18" spans="1:9">
      <c r="D18" s="2" t="s">
        <v>4289</v>
      </c>
      <c r="E18" s="2"/>
      <c r="F18" s="111"/>
      <c r="G18" s="111"/>
      <c r="H18" s="111"/>
      <c r="I18" s="111"/>
    </row>
    <row r="19" spans="1:9">
      <c r="D19" s="1" t="s">
        <v>1034</v>
      </c>
      <c r="I19" s="111"/>
    </row>
    <row r="20" spans="1:9">
      <c r="A20" s="171" t="s">
        <v>4290</v>
      </c>
      <c r="B20" s="121" t="s">
        <v>4291</v>
      </c>
      <c r="C20" s="121"/>
      <c r="D20" s="111" t="s">
        <v>4292</v>
      </c>
      <c r="E20" s="111"/>
      <c r="F20" s="111"/>
      <c r="G20" s="111"/>
      <c r="H20" s="111">
        <f>27500*0.1342</f>
        <v>3690.5000000000005</v>
      </c>
      <c r="I20" s="111"/>
    </row>
    <row r="21" spans="1:9">
      <c r="A21" s="125"/>
      <c r="B21" s="121"/>
      <c r="C21" s="121"/>
      <c r="D21" s="111" t="s">
        <v>4293</v>
      </c>
      <c r="E21" s="111"/>
      <c r="H21" s="111">
        <f>4000*0.1342</f>
        <v>536.80000000000007</v>
      </c>
      <c r="I21" s="111"/>
    </row>
    <row r="22" spans="1:9">
      <c r="A22" s="255"/>
      <c r="B22" s="121"/>
      <c r="C22" s="121"/>
      <c r="D22" s="111" t="s">
        <v>3543</v>
      </c>
      <c r="E22" s="111"/>
      <c r="H22" s="111">
        <f>2205*0.1342</f>
        <v>295.91100000000006</v>
      </c>
      <c r="I22" s="111"/>
    </row>
    <row r="23" spans="1:9">
      <c r="A23" s="171"/>
      <c r="B23" s="121"/>
      <c r="C23" s="121"/>
      <c r="I23" s="111"/>
    </row>
    <row r="24" spans="1:9">
      <c r="A24" s="125"/>
      <c r="B24" s="121"/>
      <c r="C24" s="121"/>
      <c r="D24" s="111" t="s">
        <v>1697</v>
      </c>
      <c r="E24" s="111"/>
      <c r="F24" s="111"/>
      <c r="G24" s="111"/>
      <c r="H24" s="111">
        <v>30</v>
      </c>
      <c r="I24" s="111"/>
    </row>
    <row r="25" spans="1:9">
      <c r="A25" s="255"/>
      <c r="B25" s="121"/>
      <c r="C25" s="121"/>
      <c r="D25" s="111"/>
      <c r="E25" s="111"/>
      <c r="H25" s="111"/>
      <c r="I25" s="111"/>
    </row>
    <row r="26" spans="1:9">
      <c r="A26" s="171"/>
      <c r="B26" s="121"/>
      <c r="C26" s="121"/>
      <c r="D26" s="111" t="s">
        <v>1814</v>
      </c>
      <c r="H26" s="111">
        <v>1.8</v>
      </c>
      <c r="I26" s="111"/>
    </row>
    <row r="28" spans="1:9">
      <c r="A28" s="172"/>
      <c r="B28" s="121"/>
      <c r="C28" s="121"/>
      <c r="D28" s="111"/>
      <c r="E28" s="111"/>
      <c r="H28" s="111"/>
      <c r="I28" s="111"/>
    </row>
    <row r="29" spans="1:9">
      <c r="A29" s="171"/>
      <c r="B29" s="121"/>
      <c r="C29" s="121"/>
      <c r="D29" s="111"/>
      <c r="E29" s="111"/>
      <c r="H29" s="111"/>
      <c r="I29" s="111"/>
    </row>
    <row r="30" spans="1:9">
      <c r="A30" s="171"/>
      <c r="B30" s="121"/>
      <c r="C30" s="121"/>
      <c r="D30" s="111"/>
      <c r="E30" s="111"/>
      <c r="F30" s="111"/>
      <c r="G30" s="111"/>
      <c r="H30" s="111"/>
      <c r="I30" s="111"/>
    </row>
    <row r="31" spans="1:9">
      <c r="A31" s="172"/>
      <c r="B31" s="121"/>
      <c r="C31" s="121"/>
      <c r="D31" s="111"/>
      <c r="E31" s="111"/>
      <c r="F31" s="111"/>
      <c r="G31" s="111"/>
      <c r="H31" s="111"/>
      <c r="I31" s="111"/>
    </row>
    <row r="32" spans="1:9">
      <c r="A32" s="171"/>
      <c r="B32" s="121"/>
      <c r="C32" s="121"/>
      <c r="D32" s="111"/>
      <c r="E32" s="111"/>
      <c r="F32" s="111"/>
      <c r="G32" s="111"/>
      <c r="H32" s="111"/>
      <c r="I32" s="111"/>
    </row>
    <row r="33" spans="1:9">
      <c r="A33" s="125"/>
      <c r="B33" s="121"/>
      <c r="C33" s="121"/>
      <c r="D33" s="111"/>
      <c r="E33" s="111"/>
      <c r="H33" s="111"/>
      <c r="I33" s="111"/>
    </row>
    <row r="34" spans="1:9">
      <c r="A34" s="171"/>
      <c r="B34" s="121"/>
      <c r="C34" s="121"/>
      <c r="D34" s="111"/>
      <c r="E34" s="111"/>
      <c r="F34" s="111"/>
      <c r="G34" s="111"/>
      <c r="H34" s="111"/>
      <c r="I34" s="111"/>
    </row>
    <row r="35" spans="1:9">
      <c r="A35" s="172"/>
      <c r="B35" s="121"/>
      <c r="C35" s="121"/>
      <c r="D35" s="111"/>
      <c r="E35" s="111"/>
      <c r="F35" s="111"/>
      <c r="G35" s="111"/>
      <c r="I35" s="111"/>
    </row>
    <row r="36" spans="1:9" ht="13.5" thickBot="1">
      <c r="A36" s="125"/>
      <c r="B36" s="121"/>
      <c r="C36" s="121"/>
      <c r="D36" s="111"/>
      <c r="E36" s="111"/>
      <c r="H36" s="117">
        <f>SUM(H19:H35)</f>
        <v>4555.0110000000004</v>
      </c>
      <c r="I36" s="111"/>
    </row>
    <row r="37" spans="1:9" ht="13.5" thickTop="1">
      <c r="A37" s="111"/>
      <c r="B37" s="111"/>
      <c r="C37" s="111"/>
      <c r="D37" s="111"/>
      <c r="E37" s="111"/>
      <c r="F37" s="111"/>
      <c r="G37" s="111"/>
      <c r="H37" s="111"/>
      <c r="I37" s="111"/>
    </row>
    <row r="38" spans="1:9" ht="20.100000000000001" customHeight="1">
      <c r="A38" s="118" t="s">
        <v>204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Four Thousand Five Hundred Fifty-Five and 1/100 -----------</v>
      </c>
      <c r="C38" s="202"/>
      <c r="D38" s="119"/>
      <c r="E38" s="119"/>
      <c r="F38" s="119"/>
      <c r="G38" s="119"/>
      <c r="H38" s="119"/>
      <c r="I38" s="111"/>
    </row>
    <row r="39" spans="1:9">
      <c r="A39" s="120" t="s">
        <v>11</v>
      </c>
      <c r="B39" s="111"/>
      <c r="C39" s="111"/>
      <c r="D39" s="111"/>
      <c r="E39" s="111"/>
      <c r="F39" s="111"/>
      <c r="G39" s="111"/>
      <c r="H39" s="111"/>
      <c r="I39" s="111"/>
    </row>
    <row r="40" spans="1:9" ht="25.5">
      <c r="A40" s="111" t="s">
        <v>10</v>
      </c>
      <c r="B40" s="111"/>
      <c r="C40" s="111"/>
      <c r="D40" s="111"/>
      <c r="E40" s="111"/>
      <c r="F40" s="265" t="s">
        <v>2894</v>
      </c>
      <c r="G40" s="266"/>
      <c r="H40" s="267"/>
      <c r="I40" s="111"/>
    </row>
    <row r="41" spans="1:9">
      <c r="A41" s="111"/>
      <c r="B41" s="111"/>
      <c r="C41" s="111"/>
      <c r="D41" s="111"/>
      <c r="E41" s="111"/>
      <c r="F41" s="111"/>
      <c r="G41" s="111"/>
      <c r="H41" s="111"/>
      <c r="I41" s="111"/>
    </row>
    <row r="42" spans="1:9">
      <c r="A42" s="126"/>
      <c r="B42" s="111"/>
      <c r="C42" s="111"/>
      <c r="D42" s="111"/>
      <c r="E42" s="111"/>
    </row>
    <row r="43" spans="1:9">
      <c r="A43" s="111" t="s">
        <v>52</v>
      </c>
      <c r="B43" s="111"/>
      <c r="C43" s="111"/>
      <c r="D43" s="121"/>
      <c r="E43" s="121"/>
      <c r="F43" s="111"/>
      <c r="G43" s="111"/>
      <c r="H43" s="111"/>
      <c r="I43" s="111"/>
    </row>
    <row r="44" spans="1:9">
      <c r="A44" s="122"/>
      <c r="B44" s="122"/>
      <c r="C44" s="111"/>
      <c r="D44" s="111"/>
      <c r="E44" s="111"/>
      <c r="F44" s="111"/>
      <c r="G44" s="111"/>
      <c r="H44" s="111"/>
      <c r="I44" s="111"/>
    </row>
    <row r="45" spans="1:9">
      <c r="A45" s="111"/>
      <c r="B45" s="111"/>
      <c r="C45" s="111"/>
      <c r="D45" s="111"/>
      <c r="E45" s="111"/>
      <c r="F45" s="111"/>
      <c r="G45" s="111"/>
      <c r="H45" s="111"/>
      <c r="I45" s="111"/>
    </row>
    <row r="46" spans="1:9">
      <c r="A46" s="123" t="s">
        <v>8</v>
      </c>
      <c r="B46" s="111"/>
      <c r="C46" s="111"/>
      <c r="D46" s="123" t="s">
        <v>8</v>
      </c>
      <c r="E46" s="111"/>
      <c r="F46" s="123" t="s">
        <v>7</v>
      </c>
      <c r="G46" s="111"/>
      <c r="H46" s="124"/>
      <c r="I46" s="111"/>
    </row>
    <row r="47" spans="1:9">
      <c r="A47" s="111"/>
      <c r="B47" s="111"/>
      <c r="C47" s="111"/>
      <c r="D47" s="111"/>
      <c r="E47" s="111"/>
      <c r="F47" s="111"/>
      <c r="G47" s="111"/>
      <c r="H47" s="111"/>
      <c r="I47" s="111"/>
    </row>
    <row r="48" spans="1:9">
      <c r="A48" s="111"/>
      <c r="B48" s="111"/>
      <c r="C48" s="111"/>
      <c r="D48" s="111"/>
      <c r="E48" s="111"/>
      <c r="F48" s="111"/>
      <c r="G48" s="111"/>
      <c r="H48" s="111"/>
      <c r="I48" s="111"/>
    </row>
    <row r="49" spans="1:9">
      <c r="A49" s="111"/>
      <c r="B49" s="111"/>
      <c r="C49" s="111"/>
      <c r="D49" s="111"/>
      <c r="E49" s="111"/>
      <c r="F49" s="111"/>
      <c r="G49" s="111"/>
      <c r="H49" s="111"/>
      <c r="I49" s="111"/>
    </row>
    <row r="50" spans="1:9">
      <c r="A50" s="122" t="s">
        <v>51</v>
      </c>
      <c r="B50" s="122"/>
      <c r="C50" s="111"/>
      <c r="D50" s="122" t="s">
        <v>51</v>
      </c>
      <c r="E50" s="111"/>
      <c r="F50" s="122"/>
      <c r="G50" s="122"/>
      <c r="H50" s="122"/>
      <c r="I50" s="111"/>
    </row>
    <row r="51" spans="1:9" s="3" customFormat="1" ht="17.100000000000001" customHeight="1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  <c r="I51" s="126"/>
    </row>
    <row r="52" spans="1:9">
      <c r="A52" s="111"/>
      <c r="B52" s="111"/>
      <c r="C52" s="111"/>
      <c r="D52" s="111"/>
      <c r="E52" s="111"/>
      <c r="F52" s="111" t="s">
        <v>2</v>
      </c>
      <c r="G52" s="111"/>
      <c r="H52" s="111"/>
      <c r="I52" s="111"/>
    </row>
    <row r="53" spans="1:9">
      <c r="A53" s="151"/>
      <c r="B53" s="111"/>
      <c r="C53" s="111"/>
      <c r="D53" s="111"/>
      <c r="E53" s="111"/>
      <c r="F53" s="111"/>
      <c r="G53" s="111"/>
      <c r="H53" s="111"/>
      <c r="I53" s="111"/>
    </row>
    <row r="54" spans="1:9">
      <c r="A54" s="111"/>
      <c r="B54" s="111"/>
      <c r="C54" s="111"/>
      <c r="D54" s="111"/>
      <c r="E54" s="111"/>
      <c r="F54" s="2" t="s">
        <v>1</v>
      </c>
      <c r="G54" s="111"/>
      <c r="H54" s="111"/>
      <c r="I54" s="111"/>
    </row>
    <row r="55" spans="1:9">
      <c r="A55" s="111"/>
      <c r="B55" s="111"/>
      <c r="C55" s="111"/>
      <c r="D55" s="111"/>
      <c r="E55" s="111"/>
      <c r="F55" s="2" t="s">
        <v>0</v>
      </c>
      <c r="G55" s="111"/>
      <c r="H55" s="111"/>
      <c r="I55" s="111"/>
    </row>
    <row r="56" spans="1:9">
      <c r="A56" s="111"/>
      <c r="B56" s="111"/>
      <c r="C56" s="111"/>
      <c r="D56" s="111"/>
      <c r="E56" s="111"/>
      <c r="F56" s="111"/>
      <c r="G56" s="111"/>
      <c r="H56" s="111"/>
      <c r="I56" s="111"/>
    </row>
    <row r="57" spans="1:9">
      <c r="A57" s="111"/>
      <c r="B57" s="111"/>
      <c r="C57" s="111"/>
      <c r="D57" s="111"/>
      <c r="E57" s="111"/>
      <c r="F57" s="111"/>
      <c r="G57" s="111"/>
      <c r="H57" s="111"/>
      <c r="I57" s="111"/>
    </row>
    <row r="58" spans="1:9">
      <c r="A58" s="111"/>
      <c r="B58" s="111"/>
      <c r="C58" s="111"/>
      <c r="D58" s="111"/>
      <c r="E58" s="111"/>
      <c r="F58" s="111"/>
      <c r="G58" s="111"/>
      <c r="H58" s="111"/>
      <c r="I58" s="111"/>
    </row>
    <row r="59" spans="1:9">
      <c r="A59" s="111"/>
      <c r="B59" s="111"/>
      <c r="C59" s="111"/>
      <c r="D59" s="111"/>
      <c r="E59" s="111"/>
      <c r="F59" s="111"/>
      <c r="G59" s="111"/>
      <c r="H59" s="111"/>
      <c r="I59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5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1-000000000000}">
  <sheetPr codeName="Sheet449"/>
  <dimension ref="A1:I60"/>
  <sheetViews>
    <sheetView view="pageBreakPreview" topLeftCell="A4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3.85546875" style="227" customWidth="1"/>
    <col min="3" max="3" width="1.42578125" style="227" customWidth="1"/>
    <col min="4" max="4" width="19.85546875" style="227" customWidth="1"/>
    <col min="5" max="5" width="0.85546875" style="227" customWidth="1"/>
    <col min="6" max="6" width="16.42578125" style="227" customWidth="1"/>
    <col min="7" max="7" width="8.140625" style="227" customWidth="1"/>
    <col min="8" max="8" width="13.28515625" style="227" customWidth="1"/>
    <col min="9" max="9" width="16.140625" style="209" customWidth="1"/>
    <col min="10" max="16384" width="9.140625" style="209"/>
  </cols>
  <sheetData>
    <row r="1" spans="1:9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9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9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9" ht="12.75" customHeight="1">
      <c r="A4" s="532" t="s">
        <v>1684</v>
      </c>
      <c r="B4" s="532"/>
      <c r="C4" s="532"/>
      <c r="D4" s="532"/>
      <c r="E4" s="532"/>
      <c r="F4" s="532"/>
      <c r="G4" s="532"/>
      <c r="H4" s="532"/>
    </row>
    <row r="5" spans="1:9" ht="12.75" customHeight="1">
      <c r="A5" s="131"/>
      <c r="B5" s="131"/>
      <c r="C5" s="131"/>
      <c r="D5" s="131"/>
      <c r="E5" s="131"/>
      <c r="F5" s="131"/>
      <c r="G5" s="131"/>
      <c r="H5" s="131"/>
    </row>
    <row r="6" spans="1:9" ht="12.75" customHeight="1">
      <c r="A6" s="131"/>
      <c r="B6" s="131"/>
      <c r="C6" s="131"/>
      <c r="D6" s="131"/>
      <c r="E6" s="131"/>
      <c r="F6" s="131"/>
      <c r="G6" s="131"/>
      <c r="H6" s="131"/>
    </row>
    <row r="7" spans="1:9" ht="12.75" customHeight="1">
      <c r="A7" s="131"/>
      <c r="B7" s="131"/>
      <c r="C7" s="131"/>
      <c r="D7" s="131"/>
      <c r="E7" s="131"/>
      <c r="F7" s="131"/>
      <c r="G7" s="131"/>
      <c r="H7" s="131"/>
    </row>
    <row r="8" spans="1:9" s="211" customFormat="1" ht="12.75" customHeight="1">
      <c r="A8" s="147" t="s">
        <v>24</v>
      </c>
      <c r="B8" s="147"/>
      <c r="C8" s="147"/>
      <c r="D8" s="147"/>
      <c r="E8" s="147"/>
      <c r="F8" s="210" t="s">
        <v>23</v>
      </c>
      <c r="G8" s="147"/>
      <c r="H8" s="147"/>
    </row>
    <row r="9" spans="1:9" s="211" customFormat="1" ht="12.75" customHeight="1">
      <c r="A9" s="147" t="s">
        <v>4146</v>
      </c>
      <c r="B9" s="147"/>
      <c r="C9" s="147"/>
      <c r="D9" s="147"/>
      <c r="E9" s="147"/>
      <c r="F9" s="212" t="s">
        <v>1723</v>
      </c>
      <c r="G9" s="126" t="s">
        <v>4144</v>
      </c>
      <c r="H9" s="131"/>
    </row>
    <row r="10" spans="1:9" s="211" customFormat="1" ht="12.75" customHeight="1">
      <c r="A10" s="147" t="s">
        <v>4147</v>
      </c>
      <c r="B10" s="147"/>
      <c r="C10" s="147"/>
      <c r="D10" s="147"/>
      <c r="E10" s="147"/>
      <c r="F10" s="212" t="s">
        <v>1340</v>
      </c>
      <c r="G10" s="160" t="s">
        <v>4128</v>
      </c>
      <c r="H10" s="131"/>
    </row>
    <row r="11" spans="1:9" s="211" customFormat="1" ht="12.75" customHeight="1">
      <c r="A11" s="147" t="s">
        <v>4148</v>
      </c>
      <c r="B11" s="147"/>
      <c r="C11" s="147"/>
      <c r="D11" s="147"/>
      <c r="E11" s="147"/>
      <c r="F11" s="212" t="s">
        <v>1341</v>
      </c>
      <c r="G11" s="160" t="s">
        <v>1094</v>
      </c>
      <c r="H11" s="131"/>
    </row>
    <row r="12" spans="1:9" s="211" customFormat="1" ht="12.75" customHeight="1">
      <c r="A12" s="147" t="s">
        <v>4149</v>
      </c>
      <c r="B12" s="147"/>
      <c r="C12" s="147"/>
      <c r="D12" s="147"/>
      <c r="E12" s="147"/>
      <c r="F12" s="212" t="s">
        <v>2136</v>
      </c>
      <c r="G12" s="160" t="s">
        <v>4145</v>
      </c>
      <c r="H12" s="131"/>
    </row>
    <row r="13" spans="1:9" s="211" customFormat="1" ht="12.75" customHeight="1">
      <c r="A13" s="147" t="s">
        <v>1287</v>
      </c>
      <c r="B13" s="147"/>
      <c r="C13" s="147"/>
      <c r="D13" s="147"/>
      <c r="E13" s="147"/>
      <c r="F13" s="147"/>
      <c r="G13" s="131"/>
      <c r="H13" s="147"/>
    </row>
    <row r="14" spans="1:9" s="211" customFormat="1" ht="12.75" customHeight="1">
      <c r="A14" s="147"/>
      <c r="B14" s="147"/>
      <c r="C14" s="147"/>
      <c r="D14" s="147"/>
      <c r="E14" s="147"/>
      <c r="F14" s="147"/>
      <c r="G14" s="147"/>
      <c r="H14" s="147"/>
    </row>
    <row r="15" spans="1:9" s="213" customFormat="1" ht="12.75" customHeight="1">
      <c r="A15" s="147"/>
      <c r="B15" s="147"/>
      <c r="C15" s="147"/>
      <c r="D15" s="147"/>
      <c r="E15" s="147"/>
      <c r="F15" s="147"/>
      <c r="G15" s="147"/>
      <c r="H15" s="147"/>
    </row>
    <row r="16" spans="1:9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I16" s="214"/>
    </row>
    <row r="17" spans="1:9" s="213" customFormat="1" ht="12.75" customHeight="1">
      <c r="A17" s="215"/>
      <c r="B17" s="216"/>
      <c r="C17" s="216"/>
      <c r="D17" s="217"/>
      <c r="E17" s="217"/>
      <c r="F17" s="216"/>
      <c r="G17" s="218"/>
      <c r="H17" s="219"/>
      <c r="I17" s="214"/>
    </row>
    <row r="18" spans="1:9" s="213" customFormat="1" ht="12.75" customHeight="1">
      <c r="D18" s="95" t="s">
        <v>4150</v>
      </c>
      <c r="I18" s="318"/>
    </row>
    <row r="19" spans="1:9" s="213" customFormat="1" ht="12.75" customHeight="1">
      <c r="A19" s="222"/>
      <c r="B19" s="281"/>
      <c r="C19" s="281"/>
      <c r="D19" s="145"/>
      <c r="E19" s="147"/>
      <c r="F19" s="145"/>
      <c r="G19" s="145"/>
      <c r="H19" s="320"/>
      <c r="I19" s="318"/>
    </row>
    <row r="20" spans="1:9" s="213" customFormat="1" ht="12.75" customHeight="1">
      <c r="A20" s="222" t="s">
        <v>4151</v>
      </c>
      <c r="B20" s="281" t="s">
        <v>4152</v>
      </c>
      <c r="C20" s="281"/>
      <c r="D20" s="145" t="s">
        <v>4153</v>
      </c>
      <c r="E20" s="145"/>
      <c r="F20" s="147"/>
      <c r="G20" s="147"/>
      <c r="H20" s="322">
        <v>500</v>
      </c>
      <c r="I20" s="318"/>
    </row>
    <row r="21" spans="1:9" s="213" customFormat="1" ht="12.75" customHeight="1">
      <c r="A21" s="222"/>
      <c r="B21" s="281"/>
      <c r="C21" s="281"/>
      <c r="D21" s="145"/>
      <c r="E21" s="145"/>
      <c r="F21" s="147"/>
      <c r="G21" s="147"/>
      <c r="H21" s="322"/>
      <c r="I21" s="318"/>
    </row>
    <row r="22" spans="1:9" s="213" customFormat="1" ht="12.75" customHeight="1">
      <c r="C22" s="281"/>
      <c r="D22" s="145"/>
      <c r="E22" s="145"/>
      <c r="F22" s="147"/>
      <c r="G22" s="147"/>
      <c r="H22" s="322"/>
      <c r="I22" s="318"/>
    </row>
    <row r="23" spans="1:9" s="213" customFormat="1" ht="12.75" customHeight="1">
      <c r="A23" s="222"/>
      <c r="B23" s="281"/>
      <c r="C23" s="281"/>
      <c r="D23" s="145"/>
      <c r="E23" s="147"/>
      <c r="F23" s="224"/>
      <c r="G23" s="224"/>
      <c r="H23" s="322"/>
      <c r="I23" s="224"/>
    </row>
    <row r="24" spans="1:9" s="224" customFormat="1" ht="12.75" customHeight="1">
      <c r="A24" s="222"/>
      <c r="B24" s="281"/>
      <c r="C24" s="281"/>
      <c r="D24" s="147"/>
      <c r="E24" s="147"/>
      <c r="H24" s="322"/>
    </row>
    <row r="25" spans="1:9" s="224" customFormat="1" ht="12.75" customHeight="1">
      <c r="A25" s="222"/>
      <c r="B25" s="281"/>
      <c r="C25" s="281"/>
      <c r="D25" s="147"/>
      <c r="E25" s="147"/>
      <c r="H25" s="322"/>
    </row>
    <row r="26" spans="1:9" s="224" customFormat="1" ht="12.75" customHeight="1">
      <c r="A26" s="222"/>
      <c r="B26" s="281"/>
      <c r="C26" s="281"/>
      <c r="D26" s="147"/>
      <c r="E26" s="147"/>
      <c r="H26" s="322"/>
    </row>
    <row r="27" spans="1:9" s="224" customFormat="1" ht="12.75" customHeight="1">
      <c r="A27" s="222"/>
      <c r="B27" s="281"/>
      <c r="C27" s="281"/>
      <c r="D27" s="147"/>
      <c r="E27" s="147"/>
      <c r="H27" s="322"/>
    </row>
    <row r="28" spans="1:9" s="224" customFormat="1" ht="12.75" customHeight="1">
      <c r="A28" s="222"/>
      <c r="B28" s="281"/>
      <c r="C28" s="281"/>
      <c r="D28" s="147"/>
      <c r="E28" s="147"/>
      <c r="H28" s="322"/>
    </row>
    <row r="29" spans="1:9" s="224" customFormat="1" ht="12.75" customHeight="1">
      <c r="A29" s="222"/>
      <c r="B29" s="281"/>
      <c r="C29" s="281"/>
      <c r="D29" s="147"/>
      <c r="E29" s="147"/>
      <c r="H29" s="322"/>
    </row>
    <row r="30" spans="1:9" s="224" customFormat="1" ht="12.75" customHeight="1">
      <c r="A30" s="222"/>
      <c r="B30" s="281"/>
      <c r="C30" s="281"/>
      <c r="D30" s="147"/>
      <c r="E30" s="147"/>
      <c r="H30" s="322"/>
    </row>
    <row r="31" spans="1:9" s="224" customFormat="1" ht="12.75" customHeight="1">
      <c r="A31" s="222"/>
      <c r="B31" s="281"/>
      <c r="C31" s="281"/>
      <c r="D31" s="147"/>
      <c r="E31" s="147"/>
      <c r="H31" s="322"/>
    </row>
    <row r="32" spans="1:9" s="227" customFormat="1" ht="12.75" customHeight="1">
      <c r="A32" s="222"/>
      <c r="B32" s="281"/>
      <c r="C32" s="281"/>
      <c r="D32" s="147"/>
      <c r="E32" s="147"/>
      <c r="F32" s="224"/>
      <c r="G32" s="224"/>
      <c r="H32" s="322"/>
    </row>
    <row r="33" spans="1:9" s="211" customFormat="1" ht="12.75" customHeight="1">
      <c r="A33" s="222"/>
      <c r="B33" s="281"/>
      <c r="C33" s="281"/>
      <c r="D33" s="147"/>
      <c r="E33" s="147"/>
      <c r="F33" s="147"/>
      <c r="G33" s="147"/>
      <c r="H33" s="147"/>
      <c r="I33" s="221"/>
    </row>
    <row r="34" spans="1:9" s="211" customFormat="1" ht="12.75" customHeight="1">
      <c r="A34" s="222"/>
      <c r="B34" s="281"/>
      <c r="C34" s="281"/>
      <c r="D34" s="147"/>
      <c r="E34" s="147"/>
      <c r="F34" s="147"/>
      <c r="G34" s="147"/>
      <c r="H34" s="147"/>
      <c r="I34" s="221"/>
    </row>
    <row r="35" spans="1:9" s="211" customFormat="1" ht="15.75" customHeight="1" thickBot="1">
      <c r="A35" s="229"/>
      <c r="B35" s="224"/>
      <c r="C35" s="224"/>
      <c r="D35" s="224"/>
      <c r="E35" s="224"/>
      <c r="F35" s="224"/>
      <c r="G35" s="224"/>
      <c r="H35" s="230">
        <f>SUM(H19:H34)</f>
        <v>500</v>
      </c>
      <c r="I35" s="221"/>
    </row>
    <row r="36" spans="1:9" s="211" customFormat="1" ht="12.75" customHeight="1" thickTop="1">
      <c r="A36" s="229"/>
      <c r="B36" s="224"/>
      <c r="C36" s="224"/>
      <c r="D36" s="224"/>
      <c r="E36" s="224"/>
      <c r="F36" s="224"/>
      <c r="G36" s="224"/>
      <c r="H36" s="224"/>
      <c r="I36" s="221"/>
    </row>
    <row r="37" spans="1:9" ht="20.100000000000001" customHeight="1">
      <c r="A37" s="138" t="s">
        <v>1133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Five Hundred and NO/100 -----------</v>
      </c>
      <c r="C37" s="204"/>
      <c r="D37" s="231"/>
      <c r="E37" s="231"/>
      <c r="F37" s="231"/>
      <c r="G37" s="231"/>
      <c r="H37" s="231"/>
    </row>
    <row r="38" spans="1:9" ht="12.75" customHeight="1">
      <c r="A38" s="232"/>
    </row>
    <row r="39" spans="1:9" ht="27" customHeight="1">
      <c r="A39" s="131" t="s">
        <v>10</v>
      </c>
      <c r="B39" s="131"/>
      <c r="C39" s="131"/>
      <c r="D39" s="131"/>
      <c r="E39" s="131"/>
      <c r="F39" s="283" t="s">
        <v>2894</v>
      </c>
      <c r="G39" s="284"/>
      <c r="H39" s="285"/>
    </row>
    <row r="40" spans="1:9" ht="12.75" customHeight="1">
      <c r="A40" s="131"/>
      <c r="B40" s="131"/>
      <c r="C40" s="131"/>
      <c r="D40" s="131"/>
      <c r="E40" s="131"/>
      <c r="F40" s="131"/>
      <c r="G40" s="131"/>
      <c r="H40" s="131"/>
    </row>
    <row r="41" spans="1:9" ht="12.75" customHeight="1">
      <c r="A41" s="131"/>
      <c r="B41" s="131"/>
      <c r="C41" s="131"/>
      <c r="D41" s="131"/>
      <c r="E41" s="131"/>
      <c r="F41" s="131"/>
      <c r="G41" s="131"/>
      <c r="H41" s="131"/>
    </row>
    <row r="42" spans="1:9">
      <c r="A42" s="301"/>
      <c r="B42" s="131"/>
      <c r="C42" s="131"/>
      <c r="D42" s="131"/>
      <c r="E42" s="131"/>
      <c r="F42" s="291"/>
      <c r="G42" s="291"/>
      <c r="H42" s="291"/>
    </row>
    <row r="43" spans="1:9">
      <c r="A43" s="248"/>
      <c r="B43" s="142"/>
      <c r="C43" s="131"/>
      <c r="D43" s="131"/>
      <c r="E43" s="131"/>
      <c r="F43" s="286"/>
      <c r="G43" s="287"/>
      <c r="H43" s="287"/>
    </row>
    <row r="44" spans="1:9" ht="12.75" customHeight="1">
      <c r="A44" s="301"/>
      <c r="B44" s="301"/>
      <c r="C44" s="301"/>
      <c r="D44" s="131"/>
      <c r="E44" s="131"/>
      <c r="F44" s="131"/>
      <c r="G44" s="131"/>
      <c r="H44" s="144"/>
    </row>
    <row r="45" spans="1:9" ht="12.75" customHeight="1">
      <c r="A45" s="301"/>
      <c r="B45" s="301"/>
      <c r="C45" s="301"/>
      <c r="D45" s="301"/>
      <c r="E45" s="131"/>
      <c r="F45" s="131"/>
      <c r="G45" s="131"/>
      <c r="H45" s="144"/>
    </row>
    <row r="46" spans="1:9" ht="12.75" customHeight="1">
      <c r="A46" s="143" t="s">
        <v>8</v>
      </c>
      <c r="B46" s="131"/>
      <c r="C46" s="131"/>
      <c r="D46" s="143"/>
      <c r="E46" s="131"/>
      <c r="F46" s="131"/>
      <c r="G46" s="131"/>
      <c r="H46" s="131"/>
    </row>
    <row r="47" spans="1:9" ht="12.75" customHeight="1">
      <c r="A47" s="301"/>
      <c r="B47" s="131"/>
      <c r="C47" s="131"/>
      <c r="D47" s="301"/>
      <c r="E47" s="131"/>
      <c r="F47" s="143" t="s">
        <v>7</v>
      </c>
      <c r="G47" s="131"/>
      <c r="H47" s="131"/>
    </row>
    <row r="48" spans="1:9" ht="12.75" customHeight="1">
      <c r="A48" s="143"/>
      <c r="B48" s="131"/>
      <c r="C48" s="131"/>
      <c r="D48" s="143"/>
      <c r="E48" s="131"/>
      <c r="F48" s="131"/>
      <c r="G48" s="131"/>
      <c r="H48" s="131"/>
    </row>
    <row r="49" spans="1:8" ht="12.75" customHeight="1">
      <c r="A49" s="143"/>
      <c r="B49" s="131"/>
      <c r="C49" s="131"/>
      <c r="D49" s="143"/>
      <c r="E49" s="131"/>
      <c r="F49" s="131"/>
      <c r="G49" s="131"/>
      <c r="H49" s="131"/>
    </row>
    <row r="50" spans="1:8" s="211" customFormat="1" ht="12.75" customHeight="1">
      <c r="A50" s="143"/>
      <c r="B50" s="131"/>
      <c r="C50" s="131"/>
      <c r="D50" s="143"/>
      <c r="E50" s="131"/>
      <c r="F50" s="131"/>
      <c r="G50" s="147"/>
      <c r="H50" s="147"/>
    </row>
    <row r="51" spans="1:8" ht="12.75" customHeight="1">
      <c r="A51" s="248"/>
      <c r="B51" s="142"/>
      <c r="C51" s="131"/>
      <c r="D51" s="143"/>
      <c r="E51" s="131"/>
      <c r="F51" s="142"/>
      <c r="G51" s="142"/>
      <c r="H51" s="142"/>
    </row>
    <row r="52" spans="1:8" ht="15" customHeight="1">
      <c r="A52" s="143" t="s">
        <v>2948</v>
      </c>
      <c r="B52" s="146"/>
      <c r="C52" s="146"/>
      <c r="D52" s="143"/>
      <c r="E52" s="147"/>
      <c r="F52" s="147" t="s">
        <v>3</v>
      </c>
      <c r="G52" s="131"/>
      <c r="H52" s="131"/>
    </row>
    <row r="53" spans="1:8" ht="12.75" customHeight="1">
      <c r="A53" s="143"/>
      <c r="B53" s="131"/>
      <c r="C53" s="131"/>
      <c r="D53" s="131"/>
      <c r="E53" s="131"/>
      <c r="F53" s="131" t="s">
        <v>2</v>
      </c>
      <c r="G53" s="131"/>
      <c r="H53" s="131"/>
    </row>
    <row r="54" spans="1:8" ht="12.75" customHeight="1">
      <c r="A54" s="131"/>
      <c r="B54" s="131"/>
      <c r="C54" s="131"/>
      <c r="D54" s="131"/>
      <c r="E54" s="131"/>
      <c r="F54" s="131"/>
      <c r="G54" s="131"/>
      <c r="H54" s="131"/>
    </row>
    <row r="55" spans="1:8" ht="12.75" customHeight="1">
      <c r="A55" s="131"/>
      <c r="B55" s="131"/>
      <c r="C55" s="131"/>
      <c r="D55" s="131"/>
      <c r="E55" s="131"/>
      <c r="F55" s="110" t="s">
        <v>1</v>
      </c>
      <c r="G55" s="131"/>
      <c r="H55" s="131"/>
    </row>
    <row r="56" spans="1:8" ht="12.75" customHeight="1">
      <c r="A56" s="131"/>
      <c r="B56" s="131"/>
      <c r="C56" s="131"/>
      <c r="D56" s="131"/>
      <c r="E56" s="131"/>
      <c r="F56" s="110" t="s">
        <v>0</v>
      </c>
      <c r="G56" s="131"/>
      <c r="H56" s="131"/>
    </row>
    <row r="57" spans="1:8" ht="12.75" customHeight="1">
      <c r="A57" s="131"/>
      <c r="B57" s="131"/>
      <c r="C57" s="131"/>
      <c r="D57" s="131"/>
      <c r="E57" s="131"/>
      <c r="F57" s="131"/>
      <c r="G57" s="131"/>
      <c r="H57" s="131"/>
    </row>
    <row r="58" spans="1:8" ht="12.75" customHeight="1">
      <c r="A58" s="131"/>
      <c r="B58" s="131"/>
      <c r="C58" s="131"/>
      <c r="D58" s="131"/>
      <c r="E58" s="131"/>
      <c r="F58" s="131"/>
      <c r="G58" s="131"/>
      <c r="H58" s="131"/>
    </row>
    <row r="59" spans="1:8">
      <c r="A59" s="131"/>
      <c r="B59" s="131"/>
      <c r="C59" s="131"/>
      <c r="D59" s="131"/>
      <c r="E59" s="131"/>
      <c r="F59" s="131"/>
      <c r="G59" s="131"/>
      <c r="H59" s="131"/>
    </row>
    <row r="60" spans="1:8">
      <c r="A60" s="131"/>
      <c r="B60" s="131"/>
      <c r="C60" s="131"/>
      <c r="D60" s="131"/>
      <c r="E60" s="131"/>
      <c r="F60" s="131"/>
      <c r="G60" s="131"/>
      <c r="H60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87" orientation="portrait" r:id="rId1"/>
  <headerFooter alignWithMargins="0"/>
</worksheet>
</file>

<file path=xl/worksheets/sheet5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1-000000000000}">
  <sheetPr codeName="Sheet450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</row>
    <row r="2" spans="1:8">
      <c r="A2" s="530" t="s">
        <v>25</v>
      </c>
      <c r="B2" s="530"/>
      <c r="C2" s="530"/>
      <c r="D2" s="530"/>
      <c r="E2" s="530"/>
      <c r="F2" s="530"/>
    </row>
    <row r="3" spans="1:8">
      <c r="A3" s="530" t="s">
        <v>1480</v>
      </c>
      <c r="B3" s="530"/>
      <c r="C3" s="530"/>
      <c r="D3" s="530"/>
      <c r="E3" s="530"/>
      <c r="F3" s="530"/>
    </row>
    <row r="4" spans="1:8">
      <c r="A4" s="530" t="s">
        <v>1481</v>
      </c>
      <c r="B4" s="530"/>
      <c r="C4" s="530"/>
      <c r="D4" s="530"/>
      <c r="E4" s="530"/>
      <c r="F4" s="530"/>
    </row>
    <row r="8" spans="1:8">
      <c r="A8" s="111" t="s">
        <v>24</v>
      </c>
      <c r="B8" s="111"/>
      <c r="C8" s="111"/>
      <c r="D8" s="22" t="s">
        <v>23</v>
      </c>
      <c r="E8" s="111"/>
      <c r="F8" s="111"/>
    </row>
    <row r="9" spans="1:8">
      <c r="A9" s="111"/>
      <c r="B9" s="111"/>
      <c r="C9" s="111"/>
      <c r="D9" s="112" t="s">
        <v>1127</v>
      </c>
      <c r="E9" s="111" t="s">
        <v>4020</v>
      </c>
      <c r="F9" s="111"/>
    </row>
    <row r="10" spans="1:8">
      <c r="A10" s="111" t="s">
        <v>4022</v>
      </c>
      <c r="B10" s="111"/>
      <c r="C10" s="111"/>
      <c r="D10" s="112" t="s">
        <v>1162</v>
      </c>
      <c r="E10" s="112" t="s">
        <v>4015</v>
      </c>
      <c r="F10" s="111"/>
    </row>
    <row r="11" spans="1:8">
      <c r="A11" s="111" t="s">
        <v>4023</v>
      </c>
      <c r="B11" s="111"/>
      <c r="C11" s="111"/>
      <c r="D11" s="112" t="s">
        <v>1163</v>
      </c>
      <c r="E11" s="112" t="s">
        <v>1094</v>
      </c>
      <c r="F11" s="111"/>
    </row>
    <row r="12" spans="1:8">
      <c r="A12" s="111" t="s">
        <v>4024</v>
      </c>
      <c r="B12" s="111"/>
      <c r="C12" s="111"/>
      <c r="D12" s="112" t="s">
        <v>1135</v>
      </c>
      <c r="E12" s="120" t="s">
        <v>4021</v>
      </c>
      <c r="F12" s="111"/>
    </row>
    <row r="13" spans="1:8">
      <c r="A13" s="111" t="s">
        <v>4025</v>
      </c>
      <c r="B13" s="111"/>
      <c r="C13" s="111"/>
      <c r="D13" s="111"/>
      <c r="E13" s="111"/>
      <c r="F13" s="111"/>
      <c r="H13" s="7"/>
    </row>
    <row r="14" spans="1:8">
      <c r="A14" s="111" t="s">
        <v>4026</v>
      </c>
      <c r="B14" s="111"/>
      <c r="C14" s="111"/>
      <c r="D14" s="111"/>
      <c r="E14" s="111"/>
      <c r="F14" s="111"/>
    </row>
    <row r="15" spans="1:8">
      <c r="A15" s="111"/>
      <c r="B15" s="111"/>
      <c r="C15" s="111"/>
      <c r="D15" s="111"/>
      <c r="E15" s="111"/>
      <c r="F15" s="111"/>
    </row>
    <row r="16" spans="1:8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 t="s">
        <v>4027</v>
      </c>
      <c r="D18" s="111"/>
      <c r="E18" s="111"/>
      <c r="F18" s="111"/>
    </row>
    <row r="19" spans="1:7">
      <c r="A19" s="112"/>
      <c r="B19" s="116"/>
      <c r="C19" s="2"/>
      <c r="D19" s="111"/>
      <c r="E19" s="111"/>
      <c r="F19" s="111"/>
      <c r="G19" s="111"/>
    </row>
    <row r="20" spans="1:7">
      <c r="A20" s="116" t="s">
        <v>4028</v>
      </c>
      <c r="B20" s="116" t="s">
        <v>4029</v>
      </c>
      <c r="C20" s="111" t="s">
        <v>4031</v>
      </c>
      <c r="D20" s="111"/>
      <c r="E20" s="111"/>
      <c r="F20" s="111">
        <f>1301.88</f>
        <v>1301.8800000000001</v>
      </c>
      <c r="G20" s="111"/>
    </row>
    <row r="21" spans="1:7">
      <c r="A21" s="116"/>
      <c r="B21" s="120"/>
      <c r="C21" s="111" t="s">
        <v>1814</v>
      </c>
      <c r="F21" s="111">
        <v>78.12</v>
      </c>
      <c r="G21" s="111"/>
    </row>
    <row r="22" spans="1:7">
      <c r="A22" s="116"/>
      <c r="B22" s="120"/>
      <c r="C22" s="111" t="s">
        <v>4030</v>
      </c>
      <c r="D22" s="111"/>
      <c r="E22" s="111"/>
      <c r="F22" s="111">
        <v>18</v>
      </c>
      <c r="G22" s="111"/>
    </row>
    <row r="23" spans="1:7">
      <c r="A23" s="116"/>
      <c r="B23" s="120"/>
      <c r="C23" s="111"/>
      <c r="D23" s="111"/>
      <c r="E23" s="111"/>
      <c r="F23" s="111"/>
      <c r="G23" s="111"/>
    </row>
    <row r="24" spans="1:7">
      <c r="A24" s="116"/>
      <c r="B24" s="120"/>
      <c r="C24" s="111"/>
      <c r="D24" s="111"/>
      <c r="E24" s="111"/>
      <c r="F24" s="111"/>
      <c r="G24" s="111"/>
    </row>
    <row r="25" spans="1:7">
      <c r="A25" s="116"/>
      <c r="B25" s="120"/>
      <c r="C25" s="111"/>
      <c r="D25" s="111"/>
      <c r="E25" s="111"/>
      <c r="F25" s="111"/>
      <c r="G25" s="111"/>
    </row>
    <row r="26" spans="1:7">
      <c r="A26" s="116"/>
      <c r="B26" s="120"/>
      <c r="C26" s="111"/>
      <c r="D26" s="111"/>
      <c r="E26" s="111"/>
      <c r="F26" s="111"/>
      <c r="G26" s="111"/>
    </row>
    <row r="27" spans="1:7">
      <c r="A27" s="116"/>
      <c r="B27" s="120"/>
      <c r="G27" s="111"/>
    </row>
    <row r="28" spans="1:7">
      <c r="A28" s="116"/>
      <c r="B28" s="120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1"/>
      <c r="B32" s="111"/>
      <c r="C32" s="111"/>
      <c r="D32" s="111"/>
      <c r="E32" s="111"/>
      <c r="G32" s="111"/>
    </row>
    <row r="33" spans="1:7" ht="13.5" thickBot="1">
      <c r="A33" s="111"/>
      <c r="B33" s="111"/>
      <c r="C33" s="111"/>
      <c r="D33" s="111"/>
      <c r="E33" s="111"/>
      <c r="F33" s="117">
        <f>SUM(F20:F32)</f>
        <v>1398</v>
      </c>
      <c r="G33" s="111"/>
    </row>
    <row r="34" spans="1:7" ht="13.5" thickTop="1">
      <c r="A34" s="111"/>
      <c r="B34" s="111"/>
      <c r="C34" s="111"/>
      <c r="D34" s="111"/>
      <c r="E34" s="111"/>
      <c r="F34" s="111"/>
      <c r="G34" s="111"/>
    </row>
    <row r="35" spans="1:7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Thousand Three Hundred Ninety-Eight and NO/100 -----------</v>
      </c>
      <c r="C35" s="119"/>
      <c r="D35" s="119"/>
      <c r="E35" s="119"/>
      <c r="F35" s="119"/>
      <c r="G35" s="111"/>
    </row>
    <row r="36" spans="1:7">
      <c r="A36" s="120" t="s">
        <v>11</v>
      </c>
      <c r="B36" s="111"/>
      <c r="C36" s="111"/>
      <c r="D36" s="111"/>
      <c r="E36" s="111"/>
      <c r="F36" s="111"/>
    </row>
    <row r="37" spans="1:7" ht="25.5">
      <c r="A37" s="126" t="s">
        <v>10</v>
      </c>
      <c r="B37" s="111"/>
      <c r="C37" s="111"/>
      <c r="D37" s="265" t="s">
        <v>2894</v>
      </c>
      <c r="E37" s="266"/>
      <c r="F37" s="267"/>
    </row>
    <row r="38" spans="1:7">
      <c r="A38" s="111"/>
      <c r="B38" s="111"/>
      <c r="C38" s="111"/>
      <c r="D38" s="111"/>
      <c r="E38" s="111"/>
      <c r="F38" s="111"/>
    </row>
    <row r="39" spans="1:7">
      <c r="A39" s="126"/>
      <c r="B39" s="111"/>
      <c r="C39" s="111"/>
    </row>
    <row r="40" spans="1:7">
      <c r="A40" s="111"/>
      <c r="B40" s="111"/>
      <c r="C40" s="121"/>
      <c r="D40" s="111"/>
      <c r="E40" s="111"/>
      <c r="F40" s="111"/>
    </row>
    <row r="41" spans="1:7">
      <c r="A41" s="122"/>
      <c r="B41" s="122"/>
      <c r="C41" s="111"/>
      <c r="D41" s="111"/>
      <c r="E41" s="111"/>
      <c r="F41" s="111"/>
    </row>
    <row r="42" spans="1:7">
      <c r="B42" s="111"/>
      <c r="C42" s="111"/>
      <c r="D42" s="111"/>
      <c r="E42" s="111"/>
      <c r="F42" s="111"/>
    </row>
    <row r="43" spans="1:7">
      <c r="A43" s="123" t="s">
        <v>8</v>
      </c>
      <c r="C43" s="111"/>
      <c r="D43" s="123" t="s">
        <v>7</v>
      </c>
      <c r="E43" s="111"/>
      <c r="F43" s="124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11"/>
      <c r="D45" s="111"/>
      <c r="E45" s="111"/>
      <c r="F45" s="111"/>
    </row>
    <row r="46" spans="1:7">
      <c r="A46" s="111"/>
      <c r="B46" s="111"/>
      <c r="C46" s="111"/>
      <c r="D46" s="111"/>
      <c r="E46" s="111"/>
      <c r="F46" s="111"/>
    </row>
    <row r="47" spans="1:7">
      <c r="A47" s="122"/>
      <c r="B47" s="122"/>
      <c r="C47" s="111"/>
      <c r="D47" s="122"/>
      <c r="E47" s="122"/>
      <c r="F47" s="122"/>
    </row>
    <row r="48" spans="1:7" s="3" customFormat="1" ht="17.100000000000001" customHeight="1">
      <c r="A48" s="151" t="s">
        <v>2948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17">
    <pageSetUpPr fitToPage="1"/>
  </sheetPr>
  <dimension ref="A1:H52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5.140625" style="111" customWidth="1"/>
    <col min="3" max="3" width="0.85546875" style="111" customWidth="1"/>
    <col min="4" max="4" width="22.42578125" style="111" customWidth="1"/>
    <col min="5" max="5" width="1.140625" style="111" customWidth="1"/>
    <col min="6" max="6" width="13.140625" style="111" customWidth="1"/>
    <col min="7" max="7" width="8.28515625" style="111" customWidth="1"/>
    <col min="8" max="8" width="13.710937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11" t="s">
        <v>4746</v>
      </c>
    </row>
    <row r="10" spans="1:8">
      <c r="A10" s="111" t="s">
        <v>3283</v>
      </c>
      <c r="F10" s="112" t="s">
        <v>1180</v>
      </c>
      <c r="G10" s="112" t="s">
        <v>4745</v>
      </c>
    </row>
    <row r="11" spans="1:8">
      <c r="A11" s="111" t="s">
        <v>3284</v>
      </c>
      <c r="F11" s="112" t="s">
        <v>1181</v>
      </c>
      <c r="G11" s="112" t="s">
        <v>1094</v>
      </c>
    </row>
    <row r="12" spans="1:8">
      <c r="A12" s="111" t="s">
        <v>3285</v>
      </c>
      <c r="F12" s="112" t="s">
        <v>1182</v>
      </c>
      <c r="G12" s="112" t="s">
        <v>1270</v>
      </c>
    </row>
    <row r="13" spans="1:8">
      <c r="A13" s="111" t="s">
        <v>3286</v>
      </c>
    </row>
    <row r="16" spans="1:8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8" spans="1:8">
      <c r="D18" s="2" t="s">
        <v>4747</v>
      </c>
      <c r="E18" s="2"/>
    </row>
    <row r="19" spans="1:8">
      <c r="A19" s="120"/>
      <c r="D19" s="2"/>
      <c r="E19" s="2"/>
    </row>
    <row r="20" spans="1:8">
      <c r="A20" s="116" t="s">
        <v>4748</v>
      </c>
      <c r="B20" s="241" t="s">
        <v>4749</v>
      </c>
      <c r="C20" s="241"/>
      <c r="D20" s="111" t="s">
        <v>4750</v>
      </c>
      <c r="H20" s="111">
        <f>22731.11*3.0249</f>
        <v>68759.334639000008</v>
      </c>
    </row>
    <row r="21" spans="1:8">
      <c r="D21" s="120"/>
      <c r="E21" s="120"/>
    </row>
    <row r="22" spans="1:8">
      <c r="A22" s="112"/>
      <c r="B22" s="116"/>
      <c r="C22" s="116"/>
      <c r="D22" s="111" t="s">
        <v>4751</v>
      </c>
    </row>
    <row r="24" spans="1:8">
      <c r="A24" s="116"/>
      <c r="B24" s="121"/>
      <c r="C24" s="121"/>
      <c r="D24" s="111" t="s">
        <v>1697</v>
      </c>
      <c r="H24" s="111">
        <v>10</v>
      </c>
    </row>
    <row r="25" spans="1:8">
      <c r="A25" s="148"/>
      <c r="B25" s="157"/>
      <c r="C25" s="157"/>
      <c r="H25" s="149"/>
    </row>
    <row r="26" spans="1:8">
      <c r="A26" s="148"/>
      <c r="B26" s="120"/>
      <c r="C26" s="120"/>
      <c r="D26" s="111" t="s">
        <v>1814</v>
      </c>
      <c r="H26" s="111">
        <v>0.6</v>
      </c>
    </row>
    <row r="27" spans="1:8">
      <c r="A27" s="148"/>
    </row>
    <row r="28" spans="1:8">
      <c r="A28" s="148"/>
    </row>
    <row r="33" spans="1:8" ht="13.5" thickBot="1">
      <c r="H33" s="127">
        <f>SUM(H20:H32)</f>
        <v>68769.934639000014</v>
      </c>
    </row>
    <row r="34" spans="1:8" ht="13.5" thickTop="1"/>
    <row r="35" spans="1:8" ht="20.100000000000001" customHeight="1">
      <c r="A35" s="118" t="s">
        <v>204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Sixty-Eight Thousand Seven Hundred Sixty-Nine and 93/100 -----------</v>
      </c>
      <c r="C35" s="202"/>
      <c r="D35" s="119"/>
      <c r="E35" s="119"/>
      <c r="F35" s="119"/>
      <c r="G35" s="119"/>
      <c r="H35" s="119"/>
    </row>
    <row r="36" spans="1:8">
      <c r="A36" s="120" t="s">
        <v>11</v>
      </c>
    </row>
    <row r="37" spans="1:8" ht="25.5">
      <c r="A37" s="111" t="s">
        <v>10</v>
      </c>
      <c r="F37" s="265" t="s">
        <v>2894</v>
      </c>
      <c r="G37" s="266"/>
      <c r="H37" s="267"/>
    </row>
    <row r="39" spans="1:8">
      <c r="A39" s="126"/>
    </row>
    <row r="40" spans="1:8">
      <c r="A40" s="111" t="s">
        <v>52</v>
      </c>
      <c r="D40" s="121"/>
      <c r="E40" s="121"/>
    </row>
    <row r="41" spans="1:8">
      <c r="A41" s="122"/>
      <c r="B41" s="122"/>
    </row>
    <row r="43" spans="1:8">
      <c r="A43" s="123" t="s">
        <v>8</v>
      </c>
      <c r="D43" s="123" t="s">
        <v>8</v>
      </c>
      <c r="F43" s="123" t="s">
        <v>7</v>
      </c>
      <c r="H43" s="124"/>
    </row>
    <row r="47" spans="1:8">
      <c r="A47" s="122" t="s">
        <v>51</v>
      </c>
      <c r="B47" s="122"/>
      <c r="D47" s="122" t="s">
        <v>51</v>
      </c>
      <c r="F47" s="122"/>
      <c r="G47" s="122"/>
      <c r="H47" s="122"/>
    </row>
    <row r="48" spans="1:8" s="126" customFormat="1" ht="17.100000000000001" customHeight="1">
      <c r="A48" s="151" t="s">
        <v>2948</v>
      </c>
      <c r="B48" s="125"/>
      <c r="C48" s="125"/>
      <c r="D48" s="151" t="s">
        <v>103</v>
      </c>
      <c r="F48" s="126" t="s">
        <v>3</v>
      </c>
    </row>
    <row r="49" spans="1:6">
      <c r="F49" s="111" t="s">
        <v>2</v>
      </c>
    </row>
    <row r="50" spans="1:6">
      <c r="A50" s="151"/>
    </row>
    <row r="51" spans="1:6">
      <c r="F51" s="2" t="s">
        <v>1</v>
      </c>
    </row>
    <row r="52" spans="1:6">
      <c r="F52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5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1-000000000000}">
  <sheetPr codeName="Sheet249">
    <tabColor rgb="FFFFFF00"/>
  </sheetPr>
  <dimension ref="A1:U112"/>
  <sheetViews>
    <sheetView view="pageBreakPreview" zoomScaleNormal="100" zoomScaleSheetLayoutView="100" workbookViewId="0">
      <selection activeCell="G9" sqref="G9"/>
    </sheetView>
  </sheetViews>
  <sheetFormatPr defaultRowHeight="12.75"/>
  <cols>
    <col min="1" max="1" width="14.28515625" style="1" customWidth="1"/>
    <col min="2" max="2" width="11" style="1" customWidth="1"/>
    <col min="3" max="3" width="1" style="1" customWidth="1"/>
    <col min="4" max="4" width="25.28515625" style="1" customWidth="1"/>
    <col min="5" max="5" width="1" style="1" customWidth="1"/>
    <col min="6" max="6" width="15" style="1" customWidth="1"/>
    <col min="7" max="7" width="14.42578125" style="1" customWidth="1"/>
    <col min="8" max="8" width="11.28515625" style="1" customWidth="1"/>
    <col min="9" max="16384" width="9.140625" style="1"/>
  </cols>
  <sheetData>
    <row r="1" spans="1:16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6">
      <c r="A2" s="530" t="s">
        <v>25</v>
      </c>
      <c r="B2" s="530"/>
      <c r="C2" s="530"/>
      <c r="D2" s="530"/>
      <c r="E2" s="530"/>
      <c r="F2" s="530"/>
      <c r="G2" s="530"/>
      <c r="H2" s="530"/>
      <c r="M2" s="111" t="s">
        <v>5544</v>
      </c>
      <c r="N2" s="111"/>
      <c r="O2" s="111"/>
      <c r="P2" s="111">
        <v>660</v>
      </c>
    </row>
    <row r="3" spans="1:16">
      <c r="A3" s="530" t="s">
        <v>1480</v>
      </c>
      <c r="B3" s="530"/>
      <c r="C3" s="530"/>
      <c r="D3" s="530"/>
      <c r="E3" s="530"/>
      <c r="F3" s="530"/>
      <c r="G3" s="530"/>
      <c r="H3" s="530"/>
      <c r="M3" s="111" t="s">
        <v>5545</v>
      </c>
      <c r="P3" s="111"/>
    </row>
    <row r="4" spans="1:16">
      <c r="A4" s="530" t="s">
        <v>1481</v>
      </c>
      <c r="B4" s="530"/>
      <c r="C4" s="530"/>
      <c r="D4" s="530"/>
      <c r="E4" s="530"/>
      <c r="F4" s="530"/>
      <c r="G4" s="530"/>
      <c r="H4" s="530"/>
      <c r="M4" s="111"/>
      <c r="P4" s="111"/>
    </row>
    <row r="5" spans="1:16">
      <c r="M5" s="111" t="s">
        <v>5544</v>
      </c>
      <c r="P5" s="111">
        <v>400</v>
      </c>
    </row>
    <row r="6" spans="1:16">
      <c r="M6" s="111" t="s">
        <v>5546</v>
      </c>
    </row>
    <row r="7" spans="1:16">
      <c r="M7" s="2"/>
    </row>
    <row r="8" spans="1:16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  <c r="M8" s="111" t="s">
        <v>5544</v>
      </c>
      <c r="P8" s="111">
        <v>400</v>
      </c>
    </row>
    <row r="9" spans="1:16">
      <c r="A9" s="111"/>
      <c r="B9" s="111"/>
      <c r="C9" s="111"/>
      <c r="D9" s="111"/>
      <c r="E9" s="111"/>
      <c r="F9" s="112" t="s">
        <v>1127</v>
      </c>
      <c r="G9" s="483" t="s">
        <v>7184</v>
      </c>
      <c r="H9" s="111"/>
      <c r="M9" s="111" t="s">
        <v>5547</v>
      </c>
      <c r="P9" s="111"/>
    </row>
    <row r="10" spans="1:16">
      <c r="A10" s="111" t="s">
        <v>2055</v>
      </c>
      <c r="B10" s="111"/>
      <c r="C10" s="111"/>
      <c r="D10" s="111"/>
      <c r="E10" s="111"/>
      <c r="F10" s="112" t="s">
        <v>1162</v>
      </c>
      <c r="G10" s="487" t="s">
        <v>7181</v>
      </c>
      <c r="H10" s="111"/>
      <c r="M10" s="111"/>
      <c r="P10" s="111"/>
    </row>
    <row r="11" spans="1:16">
      <c r="A11" s="111" t="s">
        <v>2056</v>
      </c>
      <c r="B11" s="111"/>
      <c r="C11" s="111"/>
      <c r="D11" s="111"/>
      <c r="E11" s="111"/>
      <c r="F11" s="112" t="s">
        <v>1163</v>
      </c>
      <c r="G11" s="484" t="s">
        <v>1094</v>
      </c>
      <c r="H11" s="111"/>
      <c r="M11" s="111" t="s">
        <v>5548</v>
      </c>
      <c r="P11" s="111">
        <v>240</v>
      </c>
    </row>
    <row r="12" spans="1:16">
      <c r="A12" s="111" t="s">
        <v>2057</v>
      </c>
      <c r="B12" s="111"/>
      <c r="C12" s="111"/>
      <c r="D12" s="111"/>
      <c r="E12" s="111"/>
      <c r="F12" s="112" t="s">
        <v>1135</v>
      </c>
      <c r="G12" s="486" t="s">
        <v>7185</v>
      </c>
      <c r="H12" s="111"/>
      <c r="M12" s="111"/>
      <c r="P12" s="111"/>
    </row>
    <row r="13" spans="1:16">
      <c r="A13" s="111" t="s">
        <v>2058</v>
      </c>
      <c r="B13" s="111"/>
      <c r="C13" s="111"/>
      <c r="D13" s="111"/>
      <c r="E13" s="111"/>
      <c r="F13" s="111"/>
      <c r="G13" s="488" t="s">
        <v>6182</v>
      </c>
      <c r="H13" s="111"/>
      <c r="M13" s="111" t="s">
        <v>5175</v>
      </c>
      <c r="P13" s="111">
        <f>SUM(P1:P12)*6%</f>
        <v>102</v>
      </c>
    </row>
    <row r="14" spans="1:16">
      <c r="A14" s="111" t="s">
        <v>2059</v>
      </c>
      <c r="B14" s="111"/>
      <c r="C14" s="111"/>
      <c r="D14" s="111"/>
      <c r="E14" s="111"/>
      <c r="F14" s="111"/>
      <c r="G14" s="111"/>
      <c r="H14" s="111"/>
      <c r="M14" s="111"/>
      <c r="P14" s="111"/>
    </row>
    <row r="15" spans="1:16">
      <c r="A15" s="111" t="s">
        <v>2181</v>
      </c>
      <c r="B15" s="111"/>
      <c r="C15" s="111"/>
      <c r="D15" s="111"/>
      <c r="E15" s="111"/>
      <c r="F15" s="111"/>
      <c r="G15" s="111"/>
      <c r="H15" s="111"/>
    </row>
    <row r="16" spans="1:16" s="15" customFormat="1" ht="20.100000000000001" customHeight="1">
      <c r="A16" s="18" t="s">
        <v>1122</v>
      </c>
      <c r="B16" s="18" t="s">
        <v>1098</v>
      </c>
      <c r="C16" s="18"/>
      <c r="D16" s="19" t="s">
        <v>14</v>
      </c>
      <c r="E16" s="19"/>
      <c r="F16" s="18"/>
      <c r="G16" s="17"/>
      <c r="H16" s="16" t="s">
        <v>13</v>
      </c>
    </row>
    <row r="17" spans="1:17">
      <c r="A17" s="111"/>
      <c r="B17" s="111"/>
      <c r="C17" s="111"/>
      <c r="D17" s="111"/>
      <c r="E17" s="111"/>
      <c r="F17" s="111"/>
      <c r="G17" s="111"/>
      <c r="H17" s="111"/>
      <c r="M17" s="483" t="s">
        <v>4976</v>
      </c>
      <c r="N17" s="482"/>
      <c r="O17" s="483"/>
      <c r="P17" s="483"/>
      <c r="Q17" s="483">
        <v>120</v>
      </c>
    </row>
    <row r="18" spans="1:17">
      <c r="A18" s="120"/>
      <c r="B18" s="111"/>
      <c r="C18" s="111"/>
      <c r="D18" s="2" t="s">
        <v>5925</v>
      </c>
      <c r="E18" s="2"/>
      <c r="F18" s="111"/>
      <c r="G18" s="111"/>
      <c r="H18" s="111"/>
      <c r="M18" s="483" t="s">
        <v>2796</v>
      </c>
      <c r="N18" s="483"/>
      <c r="O18" s="483"/>
      <c r="P18" s="483"/>
      <c r="Q18" s="483">
        <f>20</f>
        <v>20</v>
      </c>
    </row>
    <row r="19" spans="1:17" s="111" customFormat="1">
      <c r="A19" s="120"/>
      <c r="D19" s="2"/>
      <c r="E19" s="2"/>
      <c r="M19" s="483" t="s">
        <v>4754</v>
      </c>
      <c r="N19" s="483"/>
      <c r="O19" s="483"/>
      <c r="P19" s="483"/>
      <c r="Q19" s="483">
        <v>40</v>
      </c>
    </row>
    <row r="20" spans="1:17" s="111" customFormat="1">
      <c r="A20" s="485" t="s">
        <v>7183</v>
      </c>
      <c r="B20" s="485" t="s">
        <v>7186</v>
      </c>
      <c r="D20" s="314" t="s">
        <v>7190</v>
      </c>
      <c r="E20" s="482"/>
      <c r="F20" s="483"/>
      <c r="G20" s="483"/>
      <c r="H20" s="483">
        <v>2200</v>
      </c>
      <c r="M20" s="483" t="s">
        <v>5175</v>
      </c>
      <c r="N20" s="483"/>
      <c r="O20" s="483"/>
      <c r="P20" s="483"/>
      <c r="Q20" s="483">
        <f>SUM(Q17+Q18+Q19)*6%</f>
        <v>10.799999999999999</v>
      </c>
    </row>
    <row r="21" spans="1:17" s="111" customFormat="1">
      <c r="A21" s="116"/>
      <c r="B21" s="116"/>
      <c r="C21" s="116"/>
      <c r="D21" s="314" t="s">
        <v>7187</v>
      </c>
      <c r="E21" s="483"/>
      <c r="F21" s="483"/>
      <c r="G21" s="483"/>
      <c r="H21" s="483">
        <v>5500</v>
      </c>
      <c r="M21" s="483"/>
      <c r="N21" s="483"/>
      <c r="O21" s="483"/>
      <c r="P21" s="483"/>
      <c r="Q21" s="483"/>
    </row>
    <row r="22" spans="1:17" s="111" customFormat="1">
      <c r="A22" s="116"/>
      <c r="D22" s="483" t="s">
        <v>7188</v>
      </c>
      <c r="E22" s="483"/>
      <c r="F22" s="483"/>
      <c r="G22" s="483"/>
      <c r="H22" s="483"/>
      <c r="M22" s="482" t="s">
        <v>6437</v>
      </c>
      <c r="N22" s="483"/>
      <c r="O22" s="483"/>
      <c r="P22" s="483"/>
      <c r="Q22" s="483"/>
    </row>
    <row r="23" spans="1:17" s="111" customFormat="1">
      <c r="A23" s="116"/>
      <c r="D23" s="483" t="s">
        <v>7189</v>
      </c>
      <c r="E23" s="483"/>
      <c r="F23" s="483"/>
      <c r="G23" s="483"/>
      <c r="H23" s="483"/>
      <c r="M23" s="463"/>
      <c r="N23" s="482"/>
      <c r="O23" s="483"/>
      <c r="P23" s="483"/>
      <c r="Q23" s="483"/>
    </row>
    <row r="24" spans="1:17" s="111" customFormat="1">
      <c r="A24" s="116"/>
      <c r="D24" s="483" t="s">
        <v>5175</v>
      </c>
      <c r="H24" s="111">
        <f>SUM(H20+H21)*6%</f>
        <v>462</v>
      </c>
      <c r="M24" s="483" t="s">
        <v>6438</v>
      </c>
      <c r="N24" s="482"/>
      <c r="O24" s="483"/>
      <c r="P24" s="483"/>
      <c r="Q24" s="483">
        <v>120</v>
      </c>
    </row>
    <row r="25" spans="1:17" s="111" customFormat="1">
      <c r="A25" s="485"/>
      <c r="B25" s="485"/>
      <c r="D25" s="483"/>
      <c r="M25" s="483" t="s">
        <v>2796</v>
      </c>
      <c r="N25" s="483"/>
      <c r="O25" s="483"/>
      <c r="P25" s="483"/>
      <c r="Q25" s="483">
        <f>20</f>
        <v>20</v>
      </c>
    </row>
    <row r="26" spans="1:17" s="111" customFormat="1">
      <c r="D26" s="483"/>
      <c r="E26" s="2"/>
      <c r="M26" s="483" t="s">
        <v>6439</v>
      </c>
      <c r="N26" s="483"/>
      <c r="O26" s="483"/>
      <c r="P26" s="483"/>
      <c r="Q26" s="483">
        <v>120</v>
      </c>
    </row>
    <row r="27" spans="1:17" s="111" customFormat="1">
      <c r="A27" s="485"/>
      <c r="B27" s="485"/>
      <c r="D27" s="483"/>
      <c r="E27" s="2"/>
      <c r="H27" s="483"/>
      <c r="M27" s="483" t="s">
        <v>6374</v>
      </c>
      <c r="N27" s="483"/>
      <c r="O27" s="483"/>
      <c r="P27" s="483"/>
      <c r="Q27" s="483">
        <v>40</v>
      </c>
    </row>
    <row r="28" spans="1:17" s="111" customFormat="1">
      <c r="A28" s="116"/>
      <c r="B28" s="116"/>
      <c r="C28" s="116"/>
      <c r="D28" s="483"/>
      <c r="H28" s="483"/>
      <c r="M28" s="483" t="s">
        <v>6440</v>
      </c>
      <c r="N28" s="483"/>
      <c r="O28" s="483"/>
      <c r="P28" s="483"/>
      <c r="Q28" s="483">
        <v>40</v>
      </c>
    </row>
    <row r="29" spans="1:17" s="483" customFormat="1">
      <c r="A29" s="485"/>
      <c r="B29" s="485"/>
      <c r="C29" s="485"/>
      <c r="M29" s="483" t="s">
        <v>5175</v>
      </c>
      <c r="Q29" s="483">
        <v>20.399999999999999</v>
      </c>
    </row>
    <row r="30" spans="1:17" s="483" customFormat="1">
      <c r="A30" s="485"/>
      <c r="B30" s="485"/>
      <c r="C30" s="485"/>
    </row>
    <row r="31" spans="1:17" s="483" customFormat="1">
      <c r="A31" s="485"/>
      <c r="B31" s="485"/>
      <c r="C31" s="485"/>
    </row>
    <row r="32" spans="1:17" s="483" customFormat="1">
      <c r="A32" s="485"/>
      <c r="B32" s="485"/>
      <c r="C32" s="485"/>
    </row>
    <row r="33" spans="1:18" s="111" customFormat="1">
      <c r="B33" s="116"/>
      <c r="C33" s="116"/>
      <c r="D33" s="483"/>
      <c r="H33" s="483"/>
      <c r="M33" s="483"/>
      <c r="N33" s="483"/>
      <c r="O33" s="483"/>
      <c r="P33" s="483"/>
      <c r="Q33" s="483"/>
    </row>
    <row r="34" spans="1:18" s="111" customFormat="1"/>
    <row r="35" spans="1:18" s="111" customFormat="1" ht="13.5" thickBot="1">
      <c r="H35" s="117">
        <f>SUM(H20:H33)</f>
        <v>8162</v>
      </c>
    </row>
    <row r="36" spans="1:18" s="111" customFormat="1" ht="13.5" thickTop="1">
      <c r="M36" s="483" t="s">
        <v>5544</v>
      </c>
      <c r="N36" s="482"/>
      <c r="O36" s="483"/>
      <c r="P36" s="483"/>
      <c r="Q36" s="483">
        <v>660</v>
      </c>
    </row>
    <row r="37" spans="1:18" s="111" customFormat="1" ht="18.75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Eight Thousand One Hundred Sixty-Two and NO/100 -----------</v>
      </c>
      <c r="C37" s="202"/>
      <c r="D37" s="119"/>
      <c r="E37" s="119"/>
      <c r="F37" s="119"/>
      <c r="G37" s="119"/>
      <c r="H37" s="119"/>
      <c r="L37" s="116"/>
      <c r="M37" s="483" t="s">
        <v>5545</v>
      </c>
      <c r="N37" s="483"/>
      <c r="O37" s="483"/>
      <c r="P37" s="483"/>
      <c r="Q37" s="483"/>
    </row>
    <row r="38" spans="1:18" s="111" customFormat="1">
      <c r="A38" s="120" t="s">
        <v>11</v>
      </c>
      <c r="M38" s="483"/>
      <c r="N38" s="483"/>
      <c r="O38" s="483"/>
      <c r="P38" s="483"/>
      <c r="Q38" s="483"/>
    </row>
    <row r="39" spans="1:18" ht="24.75" customHeight="1">
      <c r="A39" s="111" t="s">
        <v>10</v>
      </c>
      <c r="B39" s="111"/>
      <c r="C39" s="111"/>
      <c r="D39" s="111"/>
      <c r="E39" s="111"/>
      <c r="F39" s="265" t="s">
        <v>2894</v>
      </c>
      <c r="G39" s="266"/>
      <c r="H39" s="267"/>
      <c r="M39" s="483" t="s">
        <v>5544</v>
      </c>
      <c r="N39" s="483"/>
      <c r="O39" s="483"/>
      <c r="P39" s="483"/>
      <c r="Q39" s="483">
        <v>400</v>
      </c>
    </row>
    <row r="40" spans="1:18">
      <c r="A40" s="111"/>
      <c r="B40" s="111"/>
      <c r="C40" s="111"/>
      <c r="D40" s="111"/>
      <c r="E40" s="111"/>
      <c r="F40" s="111"/>
      <c r="G40" s="111"/>
      <c r="H40" s="111"/>
      <c r="M40" s="483" t="s">
        <v>5546</v>
      </c>
      <c r="N40" s="483"/>
      <c r="O40" s="483"/>
      <c r="P40" s="483"/>
      <c r="Q40" s="483"/>
    </row>
    <row r="41" spans="1:18" ht="20.100000000000001" customHeight="1">
      <c r="A41" s="126"/>
      <c r="B41" s="111"/>
      <c r="C41" s="111"/>
      <c r="D41" s="111"/>
      <c r="E41" s="111"/>
      <c r="M41" s="482"/>
      <c r="N41" s="483"/>
      <c r="O41" s="483"/>
      <c r="P41" s="483"/>
      <c r="Q41" s="483"/>
    </row>
    <row r="42" spans="1:18">
      <c r="A42" s="111"/>
      <c r="B42" s="111"/>
      <c r="C42" s="111"/>
      <c r="D42" s="121"/>
      <c r="E42" s="121"/>
      <c r="F42" s="111"/>
      <c r="G42" s="111"/>
      <c r="H42" s="111"/>
      <c r="M42" s="483" t="s">
        <v>5544</v>
      </c>
      <c r="N42" s="483"/>
      <c r="O42" s="483"/>
      <c r="P42" s="483"/>
      <c r="Q42" s="483">
        <v>400</v>
      </c>
      <c r="R42" s="111"/>
    </row>
    <row r="43" spans="1:18">
      <c r="A43" s="122"/>
      <c r="B43" s="122"/>
      <c r="C43" s="433"/>
      <c r="D43" s="111"/>
      <c r="E43" s="111"/>
      <c r="F43" s="111"/>
      <c r="G43" s="111"/>
      <c r="H43" s="111"/>
      <c r="M43" s="483" t="s">
        <v>5547</v>
      </c>
      <c r="N43" s="482"/>
      <c r="O43" s="483"/>
      <c r="P43" s="483"/>
      <c r="Q43" s="483"/>
      <c r="R43" s="111"/>
    </row>
    <row r="44" spans="1:18">
      <c r="B44" s="111"/>
      <c r="C44" s="111"/>
      <c r="D44" s="111"/>
      <c r="E44" s="111"/>
      <c r="F44" s="111"/>
      <c r="G44" s="111"/>
      <c r="H44" s="111"/>
      <c r="M44" s="483"/>
      <c r="N44" s="482"/>
      <c r="O44" s="483"/>
      <c r="P44" s="483"/>
      <c r="Q44" s="483"/>
      <c r="R44" s="111"/>
    </row>
    <row r="45" spans="1:18">
      <c r="A45" s="123" t="s">
        <v>8</v>
      </c>
      <c r="D45" s="123" t="s">
        <v>8</v>
      </c>
      <c r="E45" s="111"/>
      <c r="F45" s="123" t="s">
        <v>7</v>
      </c>
      <c r="G45" s="111"/>
      <c r="H45" s="124"/>
      <c r="M45" s="483" t="s">
        <v>5548</v>
      </c>
      <c r="N45" s="483"/>
      <c r="O45" s="483"/>
      <c r="P45" s="483"/>
      <c r="Q45" s="483">
        <v>240</v>
      </c>
    </row>
    <row r="46" spans="1:18">
      <c r="A46" s="111"/>
      <c r="B46" s="111"/>
      <c r="C46" s="111"/>
      <c r="D46" s="111"/>
      <c r="E46" s="111"/>
      <c r="F46" s="111"/>
      <c r="G46" s="111"/>
      <c r="H46" s="111"/>
      <c r="M46" s="483"/>
      <c r="N46" s="483"/>
      <c r="O46" s="483"/>
      <c r="P46" s="483"/>
      <c r="Q46" s="483"/>
    </row>
    <row r="47" spans="1:18">
      <c r="A47" s="111"/>
      <c r="B47" s="111"/>
      <c r="C47" s="111"/>
      <c r="D47" s="111"/>
      <c r="E47" s="111"/>
      <c r="F47" s="111"/>
      <c r="G47" s="111"/>
      <c r="H47" s="111"/>
      <c r="M47" s="116"/>
      <c r="N47" s="116"/>
    </row>
    <row r="48" spans="1:18">
      <c r="A48" s="111"/>
      <c r="B48" s="111"/>
      <c r="C48" s="111"/>
      <c r="D48" s="111"/>
      <c r="E48" s="111"/>
      <c r="F48" s="111"/>
      <c r="G48" s="111"/>
      <c r="H48" s="111"/>
      <c r="M48" s="116"/>
      <c r="N48" s="116"/>
      <c r="O48" s="111"/>
      <c r="R48" s="111"/>
    </row>
    <row r="49" spans="1:18">
      <c r="A49" s="122"/>
      <c r="B49" s="122"/>
      <c r="C49" s="433"/>
      <c r="D49" s="122"/>
      <c r="E49" s="111"/>
      <c r="F49" s="122"/>
      <c r="G49" s="122"/>
      <c r="H49" s="122"/>
      <c r="M49" s="116"/>
      <c r="N49" s="116"/>
      <c r="O49" s="111"/>
      <c r="R49" s="111"/>
    </row>
    <row r="50" spans="1:18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  <c r="M50" s="116"/>
      <c r="N50" s="116"/>
      <c r="O50" s="111"/>
      <c r="R50" s="111"/>
    </row>
    <row r="51" spans="1:18">
      <c r="A51" s="111"/>
      <c r="B51" s="111"/>
      <c r="C51" s="111"/>
      <c r="D51" s="111"/>
      <c r="E51" s="111"/>
      <c r="F51" s="111" t="s">
        <v>2</v>
      </c>
      <c r="G51" s="111"/>
      <c r="H51" s="111"/>
      <c r="M51" s="116"/>
      <c r="N51" s="116"/>
      <c r="O51" s="111"/>
    </row>
    <row r="52" spans="1:18">
      <c r="A52" s="151"/>
      <c r="B52" s="111"/>
      <c r="C52" s="111"/>
      <c r="D52" s="111"/>
      <c r="E52" s="111"/>
      <c r="F52" s="111"/>
      <c r="G52" s="111"/>
      <c r="H52" s="111"/>
    </row>
    <row r="53" spans="1:1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18" s="3" customFormat="1" ht="17.100000000000001" customHeight="1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18">
      <c r="A55" s="111"/>
      <c r="B55" s="111"/>
      <c r="C55" s="111"/>
      <c r="D55" s="111"/>
      <c r="E55" s="111"/>
      <c r="F55" s="111"/>
      <c r="G55" s="111"/>
      <c r="H55" s="111"/>
    </row>
    <row r="56" spans="1:18">
      <c r="A56" s="111"/>
      <c r="B56" s="111"/>
      <c r="C56" s="111"/>
      <c r="D56" s="111"/>
      <c r="E56" s="111"/>
      <c r="F56" s="111"/>
      <c r="G56" s="111"/>
      <c r="H56" s="111"/>
    </row>
    <row r="58" spans="1:18">
      <c r="N58" s="2" t="s">
        <v>5587</v>
      </c>
      <c r="O58" s="2"/>
      <c r="P58" s="111"/>
      <c r="Q58" s="111"/>
      <c r="R58" s="111"/>
    </row>
    <row r="59" spans="1:18">
      <c r="N59" s="2"/>
      <c r="O59" s="2"/>
      <c r="P59" s="111"/>
      <c r="Q59" s="111"/>
      <c r="R59" s="111"/>
    </row>
    <row r="60" spans="1:18">
      <c r="N60" s="111" t="s">
        <v>5765</v>
      </c>
      <c r="O60" s="111"/>
      <c r="P60" s="111"/>
      <c r="Q60" s="111"/>
      <c r="R60" s="111">
        <v>120</v>
      </c>
    </row>
    <row r="61" spans="1:18">
      <c r="N61" s="111" t="s">
        <v>2796</v>
      </c>
      <c r="O61" s="111"/>
      <c r="R61" s="111">
        <v>20</v>
      </c>
    </row>
    <row r="62" spans="1:18">
      <c r="N62" s="111" t="s">
        <v>5766</v>
      </c>
      <c r="O62" s="111"/>
      <c r="R62" s="111">
        <v>40</v>
      </c>
    </row>
    <row r="63" spans="1:18">
      <c r="N63" s="111" t="s">
        <v>5175</v>
      </c>
      <c r="O63" s="111"/>
      <c r="R63" s="111">
        <v>10.8</v>
      </c>
    </row>
    <row r="64" spans="1:18">
      <c r="N64" s="2"/>
      <c r="O64" s="2"/>
    </row>
    <row r="65" spans="14:18">
      <c r="N65" s="2" t="s">
        <v>5767</v>
      </c>
      <c r="O65" s="2"/>
    </row>
    <row r="66" spans="14:18">
      <c r="N66" s="111"/>
      <c r="O66" s="111"/>
      <c r="R66" s="111"/>
    </row>
    <row r="67" spans="14:18">
      <c r="N67" s="111" t="s">
        <v>5768</v>
      </c>
      <c r="O67" s="111"/>
      <c r="R67" s="111">
        <v>120</v>
      </c>
    </row>
    <row r="68" spans="14:18">
      <c r="N68" s="111" t="s">
        <v>2796</v>
      </c>
      <c r="O68" s="111"/>
      <c r="R68" s="111">
        <v>20</v>
      </c>
    </row>
    <row r="69" spans="14:18">
      <c r="N69" s="111" t="s">
        <v>5769</v>
      </c>
      <c r="O69" s="111"/>
      <c r="R69" s="111">
        <v>40</v>
      </c>
    </row>
    <row r="70" spans="14:18">
      <c r="N70" s="111" t="s">
        <v>5175</v>
      </c>
      <c r="O70" s="111"/>
      <c r="R70" s="111">
        <v>10.8</v>
      </c>
    </row>
    <row r="71" spans="14:18">
      <c r="N71" s="111"/>
      <c r="O71" s="111"/>
      <c r="R71" s="111"/>
    </row>
    <row r="72" spans="14:18">
      <c r="N72" s="2" t="s">
        <v>5735</v>
      </c>
      <c r="O72" s="2"/>
      <c r="R72" s="111"/>
    </row>
    <row r="73" spans="14:18">
      <c r="N73" s="111"/>
      <c r="O73" s="111"/>
      <c r="R73" s="111"/>
    </row>
    <row r="74" spans="14:18">
      <c r="N74" s="111" t="s">
        <v>5768</v>
      </c>
      <c r="O74" s="111"/>
      <c r="R74" s="111">
        <v>120</v>
      </c>
    </row>
    <row r="75" spans="14:18">
      <c r="N75" s="111" t="s">
        <v>2796</v>
      </c>
      <c r="O75" s="111"/>
      <c r="R75" s="111">
        <v>20</v>
      </c>
    </row>
    <row r="76" spans="14:18">
      <c r="N76" s="111" t="s">
        <v>5769</v>
      </c>
      <c r="O76" s="111"/>
      <c r="R76" s="111">
        <v>40</v>
      </c>
    </row>
    <row r="77" spans="14:18">
      <c r="N77" s="111" t="s">
        <v>5175</v>
      </c>
      <c r="O77" s="111"/>
      <c r="R77" s="111">
        <v>10.8</v>
      </c>
    </row>
    <row r="78" spans="14:18">
      <c r="N78" s="111"/>
      <c r="O78" s="111"/>
      <c r="R78" s="111"/>
    </row>
    <row r="79" spans="14:18">
      <c r="N79" s="2" t="s">
        <v>5770</v>
      </c>
      <c r="O79" s="2"/>
      <c r="R79" s="111"/>
    </row>
    <row r="80" spans="14:18">
      <c r="N80" s="111"/>
      <c r="O80" s="111"/>
      <c r="R80" s="111"/>
    </row>
    <row r="81" spans="14:21">
      <c r="N81" s="111" t="s">
        <v>5768</v>
      </c>
      <c r="O81" s="111"/>
      <c r="R81" s="111">
        <v>120</v>
      </c>
    </row>
    <row r="82" spans="14:21">
      <c r="N82" s="111" t="s">
        <v>2796</v>
      </c>
      <c r="O82" s="111"/>
      <c r="R82" s="111">
        <v>20</v>
      </c>
    </row>
    <row r="83" spans="14:21">
      <c r="N83" s="111" t="s">
        <v>5769</v>
      </c>
      <c r="O83" s="111"/>
      <c r="P83" s="111"/>
      <c r="Q83" s="111"/>
      <c r="R83" s="111">
        <v>40</v>
      </c>
    </row>
    <row r="84" spans="14:21">
      <c r="N84" s="111" t="s">
        <v>5175</v>
      </c>
      <c r="O84" s="111"/>
      <c r="P84" s="111"/>
      <c r="R84" s="111">
        <v>10.8</v>
      </c>
    </row>
    <row r="85" spans="14:21">
      <c r="N85" s="111"/>
      <c r="O85" s="111"/>
      <c r="P85" s="111"/>
      <c r="Q85" s="111"/>
      <c r="R85" s="111"/>
    </row>
    <row r="88" spans="14:21">
      <c r="N88" s="120"/>
      <c r="O88" s="111"/>
      <c r="P88" s="111"/>
      <c r="Q88" s="2" t="s">
        <v>5925</v>
      </c>
      <c r="R88" s="2"/>
      <c r="S88" s="111"/>
      <c r="T88" s="111"/>
      <c r="U88" s="111"/>
    </row>
    <row r="89" spans="14:21">
      <c r="N89" s="120"/>
      <c r="O89" s="111"/>
      <c r="P89" s="111"/>
      <c r="Q89" s="2"/>
      <c r="R89" s="2"/>
      <c r="S89" s="111"/>
      <c r="T89" s="111"/>
      <c r="U89" s="111"/>
    </row>
    <row r="90" spans="14:21">
      <c r="Q90" s="463" t="s">
        <v>5927</v>
      </c>
      <c r="R90" s="2"/>
      <c r="S90" s="111"/>
      <c r="T90" s="111"/>
      <c r="U90" s="111"/>
    </row>
    <row r="91" spans="14:21">
      <c r="N91" s="116" t="s">
        <v>5879</v>
      </c>
      <c r="O91" s="116" t="s">
        <v>5924</v>
      </c>
      <c r="P91" s="116"/>
      <c r="Q91" s="111" t="s">
        <v>4976</v>
      </c>
      <c r="R91" s="111"/>
      <c r="S91" s="111"/>
      <c r="T91" s="111"/>
      <c r="U91" s="111">
        <v>120</v>
      </c>
    </row>
    <row r="92" spans="14:21">
      <c r="N92" s="116"/>
      <c r="O92" s="111"/>
      <c r="P92" s="111"/>
      <c r="Q92" s="111" t="s">
        <v>2796</v>
      </c>
      <c r="T92" s="111"/>
      <c r="U92" s="111">
        <v>20</v>
      </c>
    </row>
    <row r="93" spans="14:21">
      <c r="N93" s="116"/>
      <c r="O93" s="111"/>
      <c r="P93" s="111"/>
      <c r="Q93" s="111" t="s">
        <v>5769</v>
      </c>
      <c r="T93" s="111"/>
      <c r="U93" s="111">
        <v>40</v>
      </c>
    </row>
    <row r="94" spans="14:21">
      <c r="N94" s="116"/>
      <c r="O94" s="111"/>
      <c r="P94" s="111"/>
      <c r="Q94" s="111" t="s">
        <v>5175</v>
      </c>
      <c r="T94" s="111"/>
      <c r="U94" s="111">
        <v>10.8</v>
      </c>
    </row>
    <row r="95" spans="14:21">
      <c r="N95" s="116"/>
      <c r="O95" s="111"/>
      <c r="P95" s="111"/>
      <c r="Q95" s="111"/>
      <c r="T95" s="111"/>
      <c r="U95" s="111"/>
    </row>
    <row r="96" spans="14:21">
      <c r="Q96" s="463" t="s">
        <v>5928</v>
      </c>
      <c r="R96" s="2"/>
    </row>
    <row r="97" spans="14:21">
      <c r="N97" s="116" t="s">
        <v>5879</v>
      </c>
      <c r="O97" s="116" t="s">
        <v>5926</v>
      </c>
      <c r="Q97" s="111" t="s">
        <v>4976</v>
      </c>
      <c r="R97" s="2"/>
      <c r="U97" s="111">
        <v>120</v>
      </c>
    </row>
    <row r="98" spans="14:21">
      <c r="N98" s="116"/>
      <c r="O98" s="116"/>
      <c r="P98" s="116"/>
      <c r="Q98" s="111" t="s">
        <v>2796</v>
      </c>
      <c r="R98" s="111"/>
      <c r="U98" s="111">
        <v>20</v>
      </c>
    </row>
    <row r="99" spans="14:21">
      <c r="O99" s="116"/>
      <c r="P99" s="116"/>
      <c r="Q99" s="111" t="s">
        <v>4754</v>
      </c>
      <c r="R99" s="111"/>
      <c r="U99" s="111">
        <v>40</v>
      </c>
    </row>
    <row r="100" spans="14:21">
      <c r="N100" s="116"/>
      <c r="O100" s="116"/>
      <c r="P100" s="116"/>
      <c r="Q100" s="111" t="s">
        <v>5175</v>
      </c>
      <c r="R100" s="111"/>
      <c r="U100" s="111">
        <v>10.8</v>
      </c>
    </row>
    <row r="101" spans="14:21">
      <c r="R101" s="111"/>
      <c r="U101" s="111"/>
    </row>
    <row r="102" spans="14:21">
      <c r="Q102" s="463" t="s">
        <v>5930</v>
      </c>
      <c r="R102" s="111"/>
      <c r="U102" s="111"/>
    </row>
    <row r="103" spans="14:21">
      <c r="N103" s="116" t="s">
        <v>5879</v>
      </c>
      <c r="O103" s="116" t="s">
        <v>5929</v>
      </c>
      <c r="Q103" s="111" t="s">
        <v>5768</v>
      </c>
      <c r="R103" s="111"/>
      <c r="U103" s="111">
        <v>120</v>
      </c>
    </row>
    <row r="104" spans="14:21">
      <c r="Q104" s="111" t="s">
        <v>2796</v>
      </c>
      <c r="R104" s="2"/>
      <c r="U104" s="111">
        <v>20</v>
      </c>
    </row>
    <row r="105" spans="14:21">
      <c r="Q105" s="111" t="s">
        <v>4754</v>
      </c>
      <c r="R105" s="111"/>
      <c r="U105" s="111">
        <v>40</v>
      </c>
    </row>
    <row r="106" spans="14:21">
      <c r="Q106" s="111" t="s">
        <v>5175</v>
      </c>
      <c r="R106" s="111"/>
      <c r="U106" s="111">
        <v>10.8</v>
      </c>
    </row>
    <row r="107" spans="14:21">
      <c r="Q107" s="2"/>
      <c r="R107" s="2"/>
      <c r="U107" s="111"/>
    </row>
    <row r="108" spans="14:21">
      <c r="Q108" s="463" t="s">
        <v>5931</v>
      </c>
      <c r="R108" s="111"/>
      <c r="U108" s="111"/>
    </row>
    <row r="109" spans="14:21">
      <c r="N109" s="116" t="s">
        <v>5879</v>
      </c>
      <c r="O109" s="116" t="s">
        <v>5932</v>
      </c>
      <c r="P109" s="116"/>
      <c r="Q109" s="111" t="s">
        <v>5768</v>
      </c>
      <c r="R109" s="111"/>
      <c r="U109" s="111">
        <v>120</v>
      </c>
    </row>
    <row r="110" spans="14:21">
      <c r="Q110" s="111" t="s">
        <v>2796</v>
      </c>
      <c r="R110" s="111"/>
      <c r="U110" s="111">
        <v>20</v>
      </c>
    </row>
    <row r="111" spans="14:21">
      <c r="N111" s="116"/>
      <c r="O111" s="116"/>
      <c r="P111" s="116"/>
      <c r="Q111" s="111" t="s">
        <v>4754</v>
      </c>
      <c r="R111" s="111"/>
      <c r="S111" s="111"/>
      <c r="T111" s="111"/>
      <c r="U111" s="111">
        <v>40</v>
      </c>
    </row>
    <row r="112" spans="14:21">
      <c r="N112" s="121"/>
      <c r="O112" s="111"/>
      <c r="P112" s="111"/>
      <c r="Q112" s="111" t="s">
        <v>5175</v>
      </c>
      <c r="R112" s="111"/>
      <c r="S112" s="111"/>
      <c r="U112" s="111">
        <v>10.8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xl/worksheets/sheet5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1-000000000000}">
  <sheetPr codeName="Sheet451"/>
  <dimension ref="A1:H55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1.28515625" style="1" customWidth="1"/>
    <col min="4" max="4" width="23" style="1" customWidth="1"/>
    <col min="5" max="5" width="0.85546875" style="1" customWidth="1"/>
    <col min="6" max="6" width="15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483" t="s">
        <v>6951</v>
      </c>
      <c r="H9" s="111"/>
    </row>
    <row r="10" spans="1:8">
      <c r="A10" s="111" t="s">
        <v>3817</v>
      </c>
      <c r="B10" s="111"/>
      <c r="C10" s="111"/>
      <c r="D10" s="111"/>
      <c r="E10" s="111"/>
      <c r="F10" s="112" t="s">
        <v>1162</v>
      </c>
      <c r="G10" s="487" t="s">
        <v>6930</v>
      </c>
      <c r="H10" s="111"/>
    </row>
    <row r="11" spans="1:8">
      <c r="A11" s="111" t="s">
        <v>3818</v>
      </c>
      <c r="B11" s="111"/>
      <c r="C11" s="111"/>
      <c r="D11" s="111"/>
      <c r="E11" s="111"/>
      <c r="F11" s="112" t="s">
        <v>1163</v>
      </c>
      <c r="G11" s="484" t="s">
        <v>1094</v>
      </c>
      <c r="H11" s="111"/>
    </row>
    <row r="12" spans="1:8">
      <c r="A12" s="111" t="s">
        <v>3819</v>
      </c>
      <c r="B12" s="111"/>
      <c r="C12" s="111"/>
      <c r="D12" s="111"/>
      <c r="E12" s="111"/>
      <c r="F12" s="112" t="s">
        <v>1096</v>
      </c>
      <c r="G12" s="486" t="s">
        <v>6952</v>
      </c>
      <c r="H12" s="111"/>
    </row>
    <row r="13" spans="1:8">
      <c r="A13" s="111" t="s">
        <v>3820</v>
      </c>
      <c r="B13" s="111"/>
      <c r="C13" s="111"/>
      <c r="D13" s="111"/>
      <c r="E13" s="111"/>
      <c r="F13" s="111"/>
      <c r="G13" s="488" t="s">
        <v>6182</v>
      </c>
      <c r="H13" s="111"/>
    </row>
    <row r="14" spans="1:8">
      <c r="A14" s="111" t="s">
        <v>3821</v>
      </c>
      <c r="B14" s="111"/>
      <c r="C14" s="111"/>
      <c r="D14" s="111"/>
      <c r="E14" s="111"/>
      <c r="F14" s="111"/>
      <c r="G14" s="483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6"/>
      <c r="B18" s="116"/>
      <c r="C18" s="111"/>
      <c r="D18" s="482" t="s">
        <v>4051</v>
      </c>
      <c r="E18" s="2"/>
      <c r="F18" s="111"/>
      <c r="G18" s="111"/>
      <c r="H18" s="111"/>
    </row>
    <row r="19" spans="1:8">
      <c r="B19" s="116"/>
      <c r="C19" s="116"/>
      <c r="F19" s="111"/>
      <c r="G19" s="111"/>
      <c r="H19" s="111"/>
    </row>
    <row r="20" spans="1:8">
      <c r="A20" s="485" t="s">
        <v>6953</v>
      </c>
      <c r="B20" s="485" t="s">
        <v>6954</v>
      </c>
      <c r="C20" s="116"/>
      <c r="D20" s="111" t="s">
        <v>6955</v>
      </c>
      <c r="E20" s="111"/>
      <c r="F20" s="111"/>
      <c r="G20" s="111"/>
      <c r="H20" s="111">
        <v>2200</v>
      </c>
    </row>
    <row r="21" spans="1:8">
      <c r="A21" s="111"/>
      <c r="B21" s="116"/>
      <c r="C21" s="116"/>
      <c r="D21" s="483" t="s">
        <v>6956</v>
      </c>
      <c r="E21" s="111"/>
      <c r="F21" s="111"/>
      <c r="G21" s="111"/>
      <c r="H21" s="111">
        <v>1125</v>
      </c>
    </row>
    <row r="22" spans="1:8">
      <c r="A22" s="111"/>
      <c r="B22" s="116"/>
      <c r="C22" s="116"/>
      <c r="D22" s="111"/>
      <c r="E22" s="111"/>
      <c r="F22" s="111"/>
      <c r="G22" s="111"/>
      <c r="H22" s="111"/>
    </row>
    <row r="23" spans="1:8">
      <c r="A23" s="116"/>
      <c r="B23" s="116"/>
      <c r="C23" s="116"/>
      <c r="D23" s="483"/>
      <c r="E23" s="111"/>
      <c r="F23" s="111"/>
      <c r="G23" s="111"/>
      <c r="H23" s="111"/>
    </row>
    <row r="24" spans="1:8">
      <c r="A24" s="116"/>
      <c r="B24" s="121"/>
      <c r="C24" s="111"/>
      <c r="D24" s="111"/>
      <c r="E24" s="111"/>
      <c r="F24" s="111"/>
      <c r="G24" s="111"/>
      <c r="H24" s="111"/>
    </row>
    <row r="25" spans="1:8">
      <c r="A25" s="111"/>
      <c r="B25" s="111"/>
      <c r="C25" s="111"/>
      <c r="D25" s="111"/>
      <c r="E25" s="111"/>
      <c r="F25" s="111"/>
      <c r="G25" s="111"/>
      <c r="H25" s="111"/>
    </row>
    <row r="26" spans="1:8">
      <c r="A26" s="111"/>
      <c r="B26" s="111"/>
      <c r="C26" s="111"/>
      <c r="D26" s="111"/>
      <c r="E26" s="111"/>
      <c r="F26" s="111"/>
      <c r="G26" s="111"/>
      <c r="H26" s="111"/>
    </row>
    <row r="27" spans="1:8">
      <c r="A27" s="111"/>
      <c r="B27" s="111"/>
      <c r="C27" s="111"/>
      <c r="D27" s="111"/>
      <c r="E27" s="111"/>
      <c r="F27" s="111"/>
      <c r="G27" s="111"/>
      <c r="H27" s="111"/>
    </row>
    <row r="28" spans="1:8">
      <c r="A28" s="111"/>
      <c r="B28" s="111"/>
      <c r="C28" s="111"/>
      <c r="D28" s="111"/>
      <c r="E28" s="111"/>
      <c r="F28" s="111"/>
      <c r="G28" s="111"/>
      <c r="H28" s="111"/>
    </row>
    <row r="29" spans="1:8">
      <c r="A29" s="111"/>
      <c r="B29" s="111"/>
      <c r="C29" s="111"/>
      <c r="D29" s="111"/>
      <c r="E29" s="111"/>
      <c r="F29" s="111"/>
      <c r="G29" s="111"/>
      <c r="H29" s="111"/>
    </row>
    <row r="30" spans="1:8">
      <c r="A30" s="111"/>
      <c r="B30" s="111"/>
      <c r="C30" s="111"/>
      <c r="D30" s="111"/>
      <c r="E30" s="111"/>
      <c r="F30" s="111"/>
      <c r="G30" s="111"/>
      <c r="H30" s="111"/>
    </row>
    <row r="31" spans="1:8">
      <c r="A31" s="111"/>
      <c r="B31" s="111"/>
      <c r="C31" s="111"/>
      <c r="D31" s="111"/>
      <c r="E31" s="111"/>
      <c r="F31" s="111"/>
      <c r="G31" s="111"/>
      <c r="H31" s="111"/>
    </row>
    <row r="32" spans="1:8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 ht="13.5" thickBot="1">
      <c r="A34" s="111"/>
      <c r="B34" s="111"/>
      <c r="C34" s="111"/>
      <c r="D34" s="111"/>
      <c r="E34" s="111"/>
      <c r="F34" s="111"/>
      <c r="G34" s="111"/>
      <c r="H34" s="117">
        <f>SUM(H18:H33)</f>
        <v>3325</v>
      </c>
    </row>
    <row r="35" spans="1:8" ht="13.5" thickTop="1">
      <c r="A35" s="111"/>
      <c r="B35" s="111"/>
      <c r="C35" s="111"/>
      <c r="D35" s="111"/>
      <c r="E35" s="111"/>
      <c r="F35" s="111"/>
      <c r="G35" s="111"/>
      <c r="H35" s="111"/>
    </row>
    <row r="36" spans="1:8" ht="20.100000000000001" customHeight="1">
      <c r="A36" s="118" t="s">
        <v>1133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Thousand Three Hundred Twenty-Five and NO/100 -----------</v>
      </c>
      <c r="C36" s="202"/>
      <c r="D36" s="119"/>
      <c r="E36" s="119"/>
      <c r="F36" s="119"/>
      <c r="G36" s="119"/>
      <c r="H36" s="119"/>
    </row>
    <row r="37" spans="1:8">
      <c r="A37" s="120" t="s">
        <v>11</v>
      </c>
      <c r="B37" s="111"/>
      <c r="C37" s="111"/>
      <c r="D37" s="111"/>
      <c r="E37" s="111"/>
      <c r="F37" s="111"/>
      <c r="G37" s="111"/>
      <c r="H37" s="111"/>
    </row>
    <row r="38" spans="1:8" ht="25.5">
      <c r="A38" s="111" t="s">
        <v>10</v>
      </c>
      <c r="B38" s="111"/>
      <c r="C38" s="111"/>
      <c r="D38" s="111"/>
      <c r="E38" s="111"/>
      <c r="F38" s="265" t="s">
        <v>2894</v>
      </c>
      <c r="G38" s="266"/>
      <c r="H38" s="267"/>
    </row>
    <row r="39" spans="1:8">
      <c r="A39" s="111"/>
      <c r="B39" s="111"/>
      <c r="C39" s="111"/>
      <c r="D39" s="111"/>
      <c r="E39" s="111"/>
      <c r="F39" s="111"/>
      <c r="G39" s="111"/>
      <c r="H39" s="111"/>
    </row>
    <row r="40" spans="1:8">
      <c r="A40" s="126"/>
      <c r="B40" s="111"/>
      <c r="C40" s="111"/>
      <c r="D40" s="111"/>
      <c r="E40" s="111"/>
    </row>
    <row r="41" spans="1:8">
      <c r="A41" s="111"/>
      <c r="B41" s="111"/>
      <c r="C41" s="111"/>
      <c r="D41" s="121"/>
      <c r="E41" s="121"/>
      <c r="F41" s="111"/>
      <c r="G41" s="111"/>
      <c r="H41" s="111"/>
    </row>
    <row r="42" spans="1:8">
      <c r="A42" s="122"/>
      <c r="B42" s="122"/>
      <c r="C42" s="111"/>
      <c r="D42" s="111"/>
      <c r="E42" s="111"/>
      <c r="F42" s="111"/>
      <c r="G42" s="111"/>
      <c r="H42" s="111"/>
    </row>
    <row r="43" spans="1:8">
      <c r="A43" s="111"/>
      <c r="B43" s="111"/>
      <c r="C43" s="111"/>
      <c r="D43" s="111"/>
      <c r="E43" s="111"/>
      <c r="F43" s="111"/>
      <c r="G43" s="111"/>
      <c r="H43" s="111"/>
    </row>
    <row r="44" spans="1:8">
      <c r="A44" s="123" t="s">
        <v>8</v>
      </c>
      <c r="B44" s="111"/>
      <c r="C44" s="111"/>
      <c r="D44" s="123" t="s">
        <v>8</v>
      </c>
      <c r="E44" s="111"/>
      <c r="F44" s="123" t="s">
        <v>7</v>
      </c>
      <c r="G44" s="111"/>
      <c r="H44" s="124"/>
    </row>
    <row r="45" spans="1:8">
      <c r="A45" s="111"/>
      <c r="B45" s="111"/>
      <c r="C45" s="111"/>
      <c r="D45" s="111"/>
      <c r="E45" s="111"/>
      <c r="F45" s="111"/>
      <c r="G45" s="111"/>
      <c r="H45" s="111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22"/>
      <c r="B48" s="122"/>
      <c r="C48" s="111"/>
      <c r="D48" s="122"/>
      <c r="E48" s="111"/>
      <c r="F48" s="122"/>
      <c r="G48" s="122"/>
      <c r="H48" s="122"/>
    </row>
    <row r="49" spans="1:8" s="3" customFormat="1" ht="17.100000000000001" customHeight="1">
      <c r="A49" s="151" t="s">
        <v>2948</v>
      </c>
      <c r="B49" s="125"/>
      <c r="C49" s="125"/>
      <c r="D49" s="151" t="s">
        <v>103</v>
      </c>
      <c r="E49" s="126"/>
      <c r="F49" s="126" t="s">
        <v>3</v>
      </c>
      <c r="G49" s="126"/>
      <c r="H49" s="126"/>
    </row>
    <row r="50" spans="1:8">
      <c r="A50" s="111"/>
      <c r="B50" s="111"/>
      <c r="C50" s="111"/>
      <c r="D50" s="111"/>
      <c r="E50" s="111"/>
      <c r="F50" s="111" t="s">
        <v>2</v>
      </c>
      <c r="G50" s="111"/>
      <c r="H50" s="111"/>
    </row>
    <row r="51" spans="1:8">
      <c r="A51" s="151"/>
      <c r="B51" s="111"/>
      <c r="C51" s="111"/>
      <c r="D51" s="111"/>
      <c r="E51" s="111"/>
      <c r="F51" s="111"/>
      <c r="G51" s="111"/>
      <c r="H51" s="111"/>
    </row>
    <row r="52" spans="1:8">
      <c r="A52" s="111"/>
      <c r="B52" s="111"/>
      <c r="C52" s="111"/>
      <c r="D52" s="111"/>
      <c r="E52" s="111"/>
      <c r="F52" s="2" t="s">
        <v>1</v>
      </c>
      <c r="G52" s="111"/>
      <c r="H52" s="111"/>
    </row>
    <row r="53" spans="1:8">
      <c r="A53" s="111"/>
      <c r="B53" s="111"/>
      <c r="C53" s="111"/>
      <c r="D53" s="111"/>
      <c r="E53" s="111"/>
      <c r="F53" s="2" t="s">
        <v>0</v>
      </c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5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1-000000000000}">
  <sheetPr codeName="Sheet383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2" width="15.42578125" style="86" customWidth="1"/>
    <col min="3" max="3" width="23" style="86" customWidth="1"/>
    <col min="4" max="4" width="13.85546875" style="86" customWidth="1"/>
    <col min="5" max="5" width="9" style="86" customWidth="1"/>
    <col min="6" max="6" width="12.85546875" style="86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1481</v>
      </c>
      <c r="B4" s="532"/>
      <c r="C4" s="532"/>
      <c r="D4" s="532"/>
      <c r="E4" s="532"/>
      <c r="F4" s="532"/>
    </row>
    <row r="8" spans="1:6">
      <c r="A8" s="131" t="s">
        <v>24</v>
      </c>
      <c r="B8" s="131"/>
      <c r="C8" s="131"/>
      <c r="D8" s="87" t="s">
        <v>23</v>
      </c>
      <c r="E8" s="131"/>
      <c r="F8" s="131"/>
    </row>
    <row r="9" spans="1:6">
      <c r="A9" s="131"/>
      <c r="B9" s="131"/>
      <c r="C9" s="131"/>
      <c r="D9" s="132" t="s">
        <v>1127</v>
      </c>
      <c r="E9" s="131" t="s">
        <v>3081</v>
      </c>
      <c r="F9" s="131"/>
    </row>
    <row r="10" spans="1:6">
      <c r="A10" s="131" t="s">
        <v>3083</v>
      </c>
      <c r="B10" s="131"/>
      <c r="C10" s="131"/>
      <c r="D10" s="132" t="s">
        <v>1162</v>
      </c>
      <c r="E10" s="143" t="s">
        <v>3073</v>
      </c>
      <c r="F10" s="131"/>
    </row>
    <row r="11" spans="1:6">
      <c r="A11" s="131"/>
      <c r="B11" s="131"/>
      <c r="C11" s="131"/>
      <c r="D11" s="132" t="s">
        <v>1163</v>
      </c>
      <c r="E11" s="132" t="s">
        <v>1094</v>
      </c>
      <c r="F11" s="131"/>
    </row>
    <row r="12" spans="1:6">
      <c r="A12" s="131"/>
      <c r="B12" s="131"/>
      <c r="C12" s="131"/>
      <c r="D12" s="132" t="s">
        <v>1135</v>
      </c>
      <c r="E12" s="140" t="s">
        <v>3082</v>
      </c>
      <c r="F12" s="131"/>
    </row>
    <row r="13" spans="1:6">
      <c r="A13" s="131"/>
      <c r="B13" s="131"/>
      <c r="C13" s="131"/>
      <c r="D13" s="131"/>
      <c r="E13" s="131"/>
      <c r="F13" s="131"/>
    </row>
    <row r="14" spans="1:6">
      <c r="A14" s="131"/>
      <c r="B14" s="131"/>
      <c r="C14" s="131"/>
      <c r="D14" s="131"/>
      <c r="E14" s="131"/>
      <c r="F14" s="131"/>
    </row>
    <row r="15" spans="1:6">
      <c r="A15" s="131"/>
      <c r="B15" s="131"/>
      <c r="C15" s="131"/>
      <c r="D15" s="131"/>
      <c r="E15" s="131"/>
      <c r="F15" s="131"/>
    </row>
    <row r="16" spans="1:6" s="95" customFormat="1" ht="20.100000000000001" customHeight="1">
      <c r="A16" s="90" t="s">
        <v>1122</v>
      </c>
      <c r="B16" s="90" t="s">
        <v>1132</v>
      </c>
      <c r="C16" s="92" t="s">
        <v>14</v>
      </c>
      <c r="D16" s="90"/>
      <c r="E16" s="93"/>
      <c r="F16" s="94" t="s">
        <v>13</v>
      </c>
    </row>
    <row r="17" spans="1:6">
      <c r="A17" s="131"/>
      <c r="B17" s="131"/>
      <c r="C17" s="131"/>
      <c r="D17" s="131"/>
      <c r="E17" s="131"/>
      <c r="F17" s="131"/>
    </row>
    <row r="18" spans="1:6">
      <c r="A18" s="158" t="s">
        <v>3084</v>
      </c>
      <c r="B18" s="290" t="s">
        <v>3085</v>
      </c>
      <c r="C18" s="143" t="s">
        <v>3086</v>
      </c>
      <c r="F18" s="131">
        <v>2000</v>
      </c>
    </row>
    <row r="19" spans="1:6">
      <c r="A19" s="158"/>
      <c r="B19" s="141"/>
      <c r="C19" s="131" t="s">
        <v>3087</v>
      </c>
      <c r="F19" s="131"/>
    </row>
    <row r="20" spans="1:6">
      <c r="C20" s="131" t="s">
        <v>3088</v>
      </c>
    </row>
    <row r="21" spans="1:6">
      <c r="C21" s="131" t="s">
        <v>3089</v>
      </c>
    </row>
    <row r="22" spans="1:6">
      <c r="A22" s="158"/>
      <c r="B22" s="141"/>
      <c r="C22" s="131"/>
      <c r="D22" s="131"/>
      <c r="E22" s="131"/>
      <c r="F22" s="131"/>
    </row>
    <row r="23" spans="1:6">
      <c r="A23" s="158"/>
      <c r="B23" s="141"/>
      <c r="C23" s="131"/>
      <c r="D23" s="131"/>
      <c r="E23" s="131"/>
      <c r="F23" s="131"/>
    </row>
    <row r="24" spans="1:6">
      <c r="A24" s="158"/>
      <c r="B24" s="158"/>
      <c r="C24" s="131"/>
      <c r="D24" s="131"/>
      <c r="E24" s="131"/>
      <c r="F24" s="131"/>
    </row>
    <row r="25" spans="1:6">
      <c r="A25" s="158"/>
      <c r="B25" s="158"/>
      <c r="C25" s="131"/>
      <c r="D25" s="131"/>
      <c r="E25" s="131"/>
      <c r="F25" s="131"/>
    </row>
    <row r="26" spans="1:6">
      <c r="A26" s="158"/>
      <c r="B26" s="158"/>
      <c r="C26" s="131"/>
      <c r="D26" s="131"/>
      <c r="E26" s="131"/>
      <c r="F26" s="131"/>
    </row>
    <row r="27" spans="1:6">
      <c r="A27" s="158"/>
      <c r="B27" s="158"/>
      <c r="C27" s="131"/>
      <c r="D27" s="131"/>
      <c r="E27" s="131"/>
      <c r="F27" s="131"/>
    </row>
    <row r="28" spans="1:6">
      <c r="A28" s="158"/>
      <c r="B28" s="140"/>
      <c r="C28" s="131"/>
      <c r="D28" s="131"/>
      <c r="E28" s="131"/>
      <c r="F28" s="131"/>
    </row>
    <row r="29" spans="1:6">
      <c r="A29" s="158"/>
      <c r="B29" s="140"/>
      <c r="C29" s="110"/>
      <c r="D29" s="131"/>
      <c r="E29" s="131"/>
      <c r="F29" s="131"/>
    </row>
    <row r="30" spans="1:6">
      <c r="B30" s="140"/>
      <c r="C30" s="131"/>
      <c r="D30" s="131"/>
      <c r="E30" s="131"/>
      <c r="F30" s="131"/>
    </row>
    <row r="31" spans="1:6">
      <c r="A31" s="158"/>
      <c r="B31" s="158"/>
      <c r="C31" s="131"/>
      <c r="D31" s="131"/>
      <c r="E31" s="131"/>
      <c r="F31" s="131"/>
    </row>
    <row r="32" spans="1:6">
      <c r="A32" s="131"/>
      <c r="B32" s="131"/>
      <c r="C32" s="131"/>
      <c r="D32" s="131"/>
      <c r="E32" s="131"/>
    </row>
    <row r="33" spans="1:6" ht="13.5" thickBot="1">
      <c r="A33" s="131"/>
      <c r="B33" s="131"/>
      <c r="C33" s="131"/>
      <c r="D33" s="131"/>
      <c r="E33" s="131"/>
      <c r="F33" s="137">
        <f>SUM(F18:F32)</f>
        <v>2000</v>
      </c>
    </row>
    <row r="34" spans="1:6" ht="13.5" thickTop="1">
      <c r="A34" s="131"/>
      <c r="B34" s="131"/>
      <c r="C34" s="131"/>
      <c r="D34" s="131"/>
      <c r="E34" s="131"/>
      <c r="F34" s="131"/>
    </row>
    <row r="35" spans="1:6" ht="20.100000000000001" customHeight="1">
      <c r="A35" s="138" t="s">
        <v>1133</v>
      </c>
      <c r="B35" s="204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Thousand and NO/100 -----------</v>
      </c>
      <c r="C35" s="139"/>
      <c r="D35" s="139"/>
      <c r="E35" s="139"/>
      <c r="F35" s="139"/>
    </row>
    <row r="36" spans="1:6">
      <c r="A36" s="140" t="s">
        <v>11</v>
      </c>
      <c r="B36" s="131"/>
      <c r="C36" s="131"/>
      <c r="D36" s="131"/>
      <c r="E36" s="131"/>
      <c r="F36" s="131"/>
    </row>
    <row r="37" spans="1:6">
      <c r="A37" s="131" t="s">
        <v>10</v>
      </c>
      <c r="B37" s="131"/>
      <c r="C37" s="131"/>
      <c r="D37" s="131"/>
      <c r="E37" s="131"/>
      <c r="F37" s="131"/>
    </row>
    <row r="38" spans="1:6">
      <c r="A38" s="131"/>
      <c r="B38" s="131"/>
      <c r="C38" s="131"/>
      <c r="D38" s="131"/>
      <c r="E38" s="131"/>
      <c r="F38" s="131"/>
    </row>
    <row r="39" spans="1:6" ht="25.5">
      <c r="A39" s="147"/>
      <c r="B39" s="131"/>
      <c r="C39" s="131"/>
      <c r="D39" s="283" t="s">
        <v>2894</v>
      </c>
      <c r="E39" s="284"/>
      <c r="F39" s="285"/>
    </row>
    <row r="40" spans="1:6">
      <c r="A40" s="131"/>
      <c r="B40" s="131"/>
      <c r="C40" s="141"/>
      <c r="D40" s="131"/>
      <c r="E40" s="131"/>
      <c r="F40" s="131"/>
    </row>
    <row r="41" spans="1:6">
      <c r="A41" s="142"/>
      <c r="B41" s="142"/>
      <c r="C41" s="131"/>
      <c r="D41" s="131"/>
      <c r="E41" s="131"/>
      <c r="F41" s="131"/>
    </row>
    <row r="42" spans="1:6">
      <c r="B42" s="131"/>
      <c r="C42" s="131"/>
      <c r="D42" s="131"/>
      <c r="E42" s="131"/>
      <c r="F42" s="131"/>
    </row>
    <row r="43" spans="1:6">
      <c r="A43" s="143" t="s">
        <v>8</v>
      </c>
      <c r="C43" s="131"/>
      <c r="D43" s="143" t="s">
        <v>7</v>
      </c>
      <c r="E43" s="131"/>
      <c r="F43" s="144"/>
    </row>
    <row r="44" spans="1:6">
      <c r="A44" s="131"/>
      <c r="B44" s="131"/>
      <c r="C44" s="131"/>
      <c r="D44" s="131"/>
      <c r="E44" s="131"/>
      <c r="F44" s="131"/>
    </row>
    <row r="45" spans="1:6">
      <c r="A45" s="131"/>
      <c r="B45" s="131"/>
      <c r="C45" s="131"/>
      <c r="D45" s="131"/>
      <c r="E45" s="131"/>
      <c r="F45" s="131"/>
    </row>
    <row r="46" spans="1:6">
      <c r="A46" s="131"/>
      <c r="B46" s="131"/>
      <c r="C46" s="131"/>
      <c r="D46" s="131"/>
      <c r="E46" s="131"/>
      <c r="F46" s="131"/>
    </row>
    <row r="47" spans="1:6">
      <c r="A47" s="142"/>
      <c r="B47" s="142"/>
      <c r="C47" s="131"/>
      <c r="D47" s="142"/>
      <c r="E47" s="142"/>
      <c r="F47" s="142"/>
    </row>
    <row r="48" spans="1:6" s="109" customFormat="1" ht="17.100000000000001" customHeight="1">
      <c r="A48" s="145" t="s">
        <v>2948</v>
      </c>
      <c r="B48" s="146"/>
      <c r="C48" s="147"/>
      <c r="D48" s="147" t="s">
        <v>3</v>
      </c>
      <c r="E48" s="147"/>
      <c r="F48" s="147"/>
    </row>
    <row r="49" spans="1:6">
      <c r="A49" s="131"/>
      <c r="B49" s="131"/>
      <c r="C49" s="131"/>
      <c r="D49" s="131" t="s">
        <v>2</v>
      </c>
      <c r="E49" s="131"/>
      <c r="F49" s="131"/>
    </row>
    <row r="50" spans="1:6">
      <c r="A50" s="145"/>
      <c r="B50" s="131"/>
      <c r="C50" s="131"/>
      <c r="D50" s="131"/>
      <c r="E50" s="131"/>
      <c r="F50" s="131"/>
    </row>
    <row r="51" spans="1:6">
      <c r="A51" s="131"/>
      <c r="B51" s="131"/>
      <c r="C51" s="131"/>
      <c r="D51" s="110" t="s">
        <v>1</v>
      </c>
      <c r="E51" s="131"/>
      <c r="F51" s="131"/>
    </row>
    <row r="52" spans="1:6">
      <c r="A52" s="131"/>
      <c r="B52" s="131"/>
      <c r="C52" s="131"/>
      <c r="D52" s="110" t="s">
        <v>0</v>
      </c>
      <c r="E52" s="131"/>
      <c r="F52" s="131"/>
    </row>
    <row r="53" spans="1:6">
      <c r="A53" s="131"/>
      <c r="B53" s="131"/>
      <c r="C53" s="131"/>
      <c r="D53" s="131"/>
      <c r="E53" s="131"/>
      <c r="F53" s="131"/>
    </row>
    <row r="54" spans="1:6">
      <c r="A54" s="131"/>
      <c r="B54" s="131"/>
      <c r="C54" s="131"/>
      <c r="D54" s="131"/>
      <c r="E54" s="131"/>
      <c r="F54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1-000000000000}">
  <sheetPr codeName="Sheet153">
    <pageSetUpPr fitToPage="1"/>
  </sheetPr>
  <dimension ref="A1:F52"/>
  <sheetViews>
    <sheetView topLeftCell="A16" workbookViewId="0">
      <selection activeCell="G9" sqref="G9:G13"/>
    </sheetView>
  </sheetViews>
  <sheetFormatPr defaultRowHeight="12.75"/>
  <cols>
    <col min="1" max="1" width="15.5703125" style="111" customWidth="1"/>
    <col min="2" max="2" width="13.42578125" style="111" customWidth="1"/>
    <col min="3" max="3" width="21.42578125" style="111" customWidth="1"/>
    <col min="4" max="4" width="13" style="111" customWidth="1"/>
    <col min="5" max="5" width="10.710937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1090</v>
      </c>
      <c r="E9" s="111" t="s">
        <v>1780</v>
      </c>
    </row>
    <row r="10" spans="1:6">
      <c r="A10" s="111" t="s">
        <v>1362</v>
      </c>
      <c r="D10" s="112" t="s">
        <v>1162</v>
      </c>
      <c r="E10" s="112" t="s">
        <v>1772</v>
      </c>
    </row>
    <row r="11" spans="1:6">
      <c r="A11" s="111" t="s">
        <v>1363</v>
      </c>
      <c r="D11" s="112" t="s">
        <v>1163</v>
      </c>
      <c r="E11" s="112" t="s">
        <v>1094</v>
      </c>
    </row>
    <row r="12" spans="1:6">
      <c r="A12" s="111" t="s">
        <v>1364</v>
      </c>
      <c r="D12" s="112" t="s">
        <v>1096</v>
      </c>
      <c r="E12" s="112" t="s">
        <v>1781</v>
      </c>
    </row>
    <row r="13" spans="1:6">
      <c r="A13" s="111" t="s">
        <v>1365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8" spans="1:6">
      <c r="A18" s="148"/>
      <c r="C18" s="2" t="s">
        <v>1782</v>
      </c>
    </row>
    <row r="19" spans="1:6">
      <c r="A19" s="161"/>
      <c r="B19" s="116"/>
    </row>
    <row r="20" spans="1:6">
      <c r="A20" s="161" t="s">
        <v>1783</v>
      </c>
      <c r="B20" s="116" t="s">
        <v>1784</v>
      </c>
      <c r="C20" s="111" t="s">
        <v>1746</v>
      </c>
      <c r="F20" s="111">
        <v>700</v>
      </c>
    </row>
    <row r="21" spans="1:6">
      <c r="A21" s="115"/>
      <c r="C21" s="120" t="s">
        <v>1785</v>
      </c>
    </row>
    <row r="22" spans="1:6">
      <c r="A22" s="115"/>
      <c r="F22" s="149"/>
    </row>
    <row r="23" spans="1:6">
      <c r="A23" s="148"/>
      <c r="F23" s="149"/>
    </row>
    <row r="24" spans="1:6">
      <c r="A24" s="148"/>
      <c r="B24" s="120"/>
      <c r="F24" s="149"/>
    </row>
    <row r="25" spans="1:6">
      <c r="A25" s="148"/>
      <c r="B25" s="120"/>
      <c r="F25" s="149"/>
    </row>
    <row r="26" spans="1:6">
      <c r="A26" s="148"/>
      <c r="B26" s="120"/>
    </row>
    <row r="27" spans="1:6">
      <c r="A27" s="148"/>
    </row>
    <row r="28" spans="1:6">
      <c r="A28" s="148"/>
    </row>
    <row r="33" spans="1:6" ht="13.5" thickBot="1">
      <c r="F33" s="127">
        <f>SUM(F20:F32)</f>
        <v>700</v>
      </c>
    </row>
    <row r="34" spans="1:6" ht="13.5" thickTop="1"/>
    <row r="35" spans="1:6" ht="20.100000000000001" customHeight="1">
      <c r="A35" s="118" t="s">
        <v>204</v>
      </c>
      <c r="B35" s="118" t="s">
        <v>1747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1-000000000000}">
  <sheetPr codeName="Sheet120">
    <pageSetUpPr fitToPage="1"/>
  </sheetPr>
  <dimension ref="A1:F51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774</v>
      </c>
    </row>
    <row r="10" spans="1:6">
      <c r="A10" s="1" t="s">
        <v>773</v>
      </c>
      <c r="D10" s="21" t="s">
        <v>21</v>
      </c>
      <c r="E10" s="21" t="s">
        <v>40</v>
      </c>
    </row>
    <row r="11" spans="1:6">
      <c r="A11" s="1" t="s">
        <v>772</v>
      </c>
      <c r="D11" s="21" t="s">
        <v>19</v>
      </c>
      <c r="E11" s="21" t="s">
        <v>18</v>
      </c>
    </row>
    <row r="12" spans="1:6">
      <c r="A12" s="1" t="s">
        <v>771</v>
      </c>
      <c r="D12" s="21" t="s">
        <v>17</v>
      </c>
      <c r="E12" s="20" t="s">
        <v>770</v>
      </c>
    </row>
    <row r="13" spans="1:6">
      <c r="A13" s="1" t="s">
        <v>769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8" spans="3:6">
      <c r="C18" s="13"/>
    </row>
    <row r="19" spans="3:6">
      <c r="C19" s="14" t="s">
        <v>768</v>
      </c>
    </row>
    <row r="20" spans="3:6">
      <c r="C20" s="14" t="s">
        <v>767</v>
      </c>
    </row>
    <row r="21" spans="3:6">
      <c r="C21" s="14" t="s">
        <v>766</v>
      </c>
    </row>
    <row r="22" spans="3:6">
      <c r="C22" s="14"/>
    </row>
    <row r="23" spans="3:6">
      <c r="C23" s="13"/>
    </row>
    <row r="24" spans="3:6">
      <c r="C24" s="13" t="s">
        <v>765</v>
      </c>
      <c r="F24" s="1">
        <v>3000</v>
      </c>
    </row>
    <row r="25" spans="3:6">
      <c r="C25" s="13"/>
    </row>
    <row r="26" spans="3:6">
      <c r="C26" s="13"/>
    </row>
    <row r="27" spans="3:6">
      <c r="C27" s="13"/>
    </row>
    <row r="28" spans="3:6">
      <c r="C28" s="13"/>
    </row>
    <row r="29" spans="3:6">
      <c r="C29" s="13"/>
    </row>
    <row r="31" spans="3:6" ht="13.5" thickBot="1">
      <c r="F31" s="12">
        <f>SUM(F18:F30)</f>
        <v>3000</v>
      </c>
    </row>
    <row r="32" spans="3:6" ht="13.5" thickTop="1"/>
    <row r="33" spans="1:6" ht="13.5" thickBot="1">
      <c r="F33" s="12">
        <f>SUM(F20:F32)</f>
        <v>6000</v>
      </c>
    </row>
    <row r="34" spans="1:6" ht="20.100000000000001" customHeight="1" thickTop="1">
      <c r="A34" s="10" t="s">
        <v>188</v>
      </c>
      <c r="B34" s="10"/>
      <c r="C34" s="9"/>
      <c r="D34" s="9"/>
      <c r="E34" s="9"/>
      <c r="F34" s="9"/>
    </row>
    <row r="35" spans="1:6">
      <c r="A35" s="8" t="s">
        <v>11</v>
      </c>
    </row>
    <row r="36" spans="1:6">
      <c r="A36" s="1" t="s">
        <v>10</v>
      </c>
    </row>
    <row r="39" spans="1:6" ht="25.5">
      <c r="A39" s="3" t="s">
        <v>9</v>
      </c>
      <c r="C39" s="7"/>
      <c r="D39" s="265" t="s">
        <v>2894</v>
      </c>
      <c r="E39" s="266"/>
      <c r="F39" s="267"/>
    </row>
    <row r="42" spans="1:6">
      <c r="A42" s="6" t="s">
        <v>8</v>
      </c>
      <c r="D42" s="6" t="s">
        <v>7</v>
      </c>
      <c r="F42" s="5"/>
    </row>
    <row r="46" spans="1:6">
      <c r="A46" s="1" t="s">
        <v>6</v>
      </c>
      <c r="D46" s="1" t="s">
        <v>5</v>
      </c>
    </row>
    <row r="47" spans="1:6" s="3" customFormat="1" ht="17.100000000000001" customHeight="1">
      <c r="A47" s="4" t="s">
        <v>4</v>
      </c>
      <c r="B47" s="4"/>
      <c r="D47" s="3" t="s">
        <v>3</v>
      </c>
    </row>
    <row r="48" spans="1:6">
      <c r="D48" s="1" t="s">
        <v>2</v>
      </c>
    </row>
    <row r="50" spans="1:4">
      <c r="A50" s="273" t="s">
        <v>2948</v>
      </c>
      <c r="D50" s="2" t="s">
        <v>1</v>
      </c>
    </row>
    <row r="51" spans="1:4">
      <c r="D51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1-000000000000}">
  <sheetPr codeName="Sheet122">
    <pageSetUpPr fitToPage="1"/>
  </sheetPr>
  <dimension ref="A1:F52"/>
  <sheetViews>
    <sheetView topLeftCell="A4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777</v>
      </c>
    </row>
    <row r="10" spans="1:6">
      <c r="A10" s="1" t="s">
        <v>776</v>
      </c>
      <c r="D10" s="21" t="s">
        <v>21</v>
      </c>
      <c r="E10" s="21" t="s">
        <v>40</v>
      </c>
    </row>
    <row r="11" spans="1:6">
      <c r="A11" s="1" t="s">
        <v>57</v>
      </c>
      <c r="D11" s="21" t="s">
        <v>19</v>
      </c>
      <c r="E11" s="21" t="s">
        <v>18</v>
      </c>
    </row>
    <row r="12" spans="1:6">
      <c r="D12" s="21" t="s">
        <v>17</v>
      </c>
      <c r="E12" s="20" t="s">
        <v>775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56</v>
      </c>
    </row>
    <row r="20" spans="1:6">
      <c r="C20" s="14" t="s">
        <v>121</v>
      </c>
    </row>
    <row r="21" spans="1:6">
      <c r="C21" s="14" t="s">
        <v>120</v>
      </c>
    </row>
    <row r="23" spans="1:6">
      <c r="A23" s="13" t="s">
        <v>119</v>
      </c>
      <c r="C23" s="1" t="s">
        <v>118</v>
      </c>
      <c r="F23" s="1">
        <v>250</v>
      </c>
    </row>
    <row r="33" spans="1:6" ht="13.5" thickBot="1">
      <c r="F33" s="12">
        <f>SUM(F20:F32)</f>
        <v>250</v>
      </c>
    </row>
    <row r="34" spans="1:6" ht="13.5" thickTop="1"/>
    <row r="35" spans="1:6" ht="20.100000000000001" customHeight="1">
      <c r="A35" s="11" t="s">
        <v>117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1-000000000000}">
  <sheetPr codeName="Sheet462">
    <pageSetUpPr fitToPage="1"/>
  </sheetPr>
  <dimension ref="A1:I52"/>
  <sheetViews>
    <sheetView workbookViewId="0">
      <selection activeCell="G9" sqref="G9:G13"/>
    </sheetView>
  </sheetViews>
  <sheetFormatPr defaultRowHeight="12.75"/>
  <cols>
    <col min="1" max="1" width="15.85546875" style="131" customWidth="1"/>
    <col min="2" max="2" width="16.85546875" style="131" customWidth="1"/>
    <col min="3" max="3" width="0.7109375" style="131" customWidth="1"/>
    <col min="4" max="4" width="21" style="131" customWidth="1"/>
    <col min="5" max="5" width="1.28515625" style="131" customWidth="1"/>
    <col min="6" max="6" width="12.85546875" style="131" customWidth="1"/>
    <col min="7" max="7" width="8.28515625" style="131" customWidth="1"/>
    <col min="8" max="8" width="13.28515625" style="131" customWidth="1"/>
    <col min="9" max="9" width="9.140625" style="131"/>
    <col min="10" max="10" width="9.7109375" style="131" customWidth="1"/>
    <col min="11" max="11" width="11.28515625" style="131" customWidth="1"/>
    <col min="12" max="16384" width="9.140625" style="131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1123</v>
      </c>
      <c r="G9" s="132" t="s">
        <v>4281</v>
      </c>
    </row>
    <row r="10" spans="1:8">
      <c r="A10" s="131" t="s">
        <v>4267</v>
      </c>
      <c r="F10" s="132" t="s">
        <v>1124</v>
      </c>
      <c r="G10" s="132" t="s">
        <v>4274</v>
      </c>
    </row>
    <row r="11" spans="1:8">
      <c r="A11" s="131" t="s">
        <v>4268</v>
      </c>
      <c r="F11" s="132" t="s">
        <v>1125</v>
      </c>
      <c r="G11" s="132" t="s">
        <v>1094</v>
      </c>
    </row>
    <row r="12" spans="1:8">
      <c r="A12" s="131" t="s">
        <v>2504</v>
      </c>
      <c r="F12" s="132" t="s">
        <v>1096</v>
      </c>
      <c r="G12" s="111" t="s">
        <v>4282</v>
      </c>
    </row>
    <row r="13" spans="1:8">
      <c r="A13" s="131" t="s">
        <v>1257</v>
      </c>
      <c r="G13" s="111"/>
    </row>
    <row r="16" spans="1:8" s="95" customFormat="1" ht="20.100000000000001" customHeight="1">
      <c r="A16" s="90" t="s">
        <v>1140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8" spans="1:9">
      <c r="D18" s="110" t="s">
        <v>4271</v>
      </c>
      <c r="E18" s="110"/>
      <c r="I18" s="250"/>
    </row>
    <row r="20" spans="1:9">
      <c r="A20" s="158" t="s">
        <v>4269</v>
      </c>
      <c r="B20" s="158" t="s">
        <v>4270</v>
      </c>
      <c r="D20" s="140" t="s">
        <v>4272</v>
      </c>
      <c r="E20" s="140"/>
      <c r="H20" s="131">
        <v>1120</v>
      </c>
    </row>
    <row r="21" spans="1:9">
      <c r="D21" s="140" t="s">
        <v>4273</v>
      </c>
      <c r="H21" s="131">
        <v>1120</v>
      </c>
    </row>
    <row r="22" spans="1:9">
      <c r="A22" s="158"/>
      <c r="B22" s="158"/>
      <c r="C22" s="158"/>
    </row>
    <row r="23" spans="1:9">
      <c r="A23" s="158"/>
      <c r="B23" s="158"/>
      <c r="C23" s="158"/>
      <c r="D23" s="140"/>
      <c r="E23" s="140"/>
    </row>
    <row r="24" spans="1:9">
      <c r="A24" s="158"/>
      <c r="B24" s="158"/>
      <c r="C24" s="158"/>
    </row>
    <row r="25" spans="1:9">
      <c r="D25" s="132"/>
    </row>
    <row r="26" spans="1:9">
      <c r="B26" s="140"/>
      <c r="C26" s="140"/>
    </row>
    <row r="27" spans="1:9">
      <c r="A27" s="158"/>
      <c r="B27" s="141"/>
      <c r="C27" s="141"/>
    </row>
    <row r="28" spans="1:9">
      <c r="A28" s="158"/>
      <c r="B28" s="158"/>
      <c r="C28" s="158"/>
      <c r="D28" s="140"/>
      <c r="E28" s="140"/>
    </row>
    <row r="33" spans="1:8" ht="13.5" thickBot="1">
      <c r="H33" s="137">
        <f>SUM(H20:H32)</f>
        <v>2240</v>
      </c>
    </row>
    <row r="34" spans="1:8" ht="13.5" thickTop="1"/>
    <row r="35" spans="1:8" ht="20.100000000000001" customHeight="1">
      <c r="A35" s="138" t="s">
        <v>1133</v>
      </c>
      <c r="B35" s="204" t="s">
        <v>2515</v>
      </c>
      <c r="C35" s="204"/>
      <c r="D35" s="139"/>
      <c r="E35" s="139"/>
      <c r="F35" s="139"/>
      <c r="G35" s="139"/>
      <c r="H35" s="139"/>
    </row>
    <row r="36" spans="1:8">
      <c r="A36" s="140" t="s">
        <v>11</v>
      </c>
    </row>
    <row r="37" spans="1:8" ht="25.5">
      <c r="A37" s="131" t="s">
        <v>10</v>
      </c>
      <c r="F37" s="265" t="s">
        <v>2894</v>
      </c>
      <c r="G37" s="266"/>
      <c r="H37" s="267"/>
    </row>
    <row r="39" spans="1:8">
      <c r="A39" s="147"/>
    </row>
    <row r="40" spans="1:8">
      <c r="D40" s="141"/>
      <c r="E40" s="141"/>
    </row>
    <row r="41" spans="1:8">
      <c r="A41" s="142"/>
      <c r="B41" s="142"/>
    </row>
    <row r="43" spans="1:8">
      <c r="A43" s="143" t="s">
        <v>8</v>
      </c>
      <c r="D43" s="143" t="s">
        <v>8</v>
      </c>
      <c r="F43" s="143" t="s">
        <v>7</v>
      </c>
      <c r="H43" s="144"/>
    </row>
    <row r="47" spans="1:8">
      <c r="A47" s="142"/>
      <c r="B47" s="142"/>
      <c r="D47" s="142"/>
      <c r="F47" s="142"/>
      <c r="G47" s="142"/>
      <c r="H47" s="142"/>
    </row>
    <row r="48" spans="1:8" s="147" customFormat="1" ht="17.100000000000001" customHeight="1">
      <c r="A48" s="145" t="s">
        <v>2948</v>
      </c>
      <c r="B48" s="146"/>
      <c r="C48" s="146"/>
      <c r="D48" s="145" t="s">
        <v>103</v>
      </c>
      <c r="F48" s="147" t="s">
        <v>3</v>
      </c>
    </row>
    <row r="49" spans="1:6">
      <c r="F49" s="131" t="s">
        <v>2</v>
      </c>
    </row>
    <row r="50" spans="1:6">
      <c r="A50" s="145"/>
      <c r="D50" s="145"/>
    </row>
    <row r="51" spans="1:6">
      <c r="F51" s="110" t="s">
        <v>1</v>
      </c>
    </row>
    <row r="52" spans="1:6">
      <c r="F52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5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9C826-B517-4448-AF55-7D39ED1588A3}">
  <sheetPr codeName="Sheet596"/>
  <dimension ref="A1:N58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42578125" style="111" customWidth="1"/>
    <col min="4" max="4" width="22.85546875" style="111" customWidth="1"/>
    <col min="5" max="5" width="1" style="111" customWidth="1"/>
    <col min="6" max="6" width="13.140625" style="111" customWidth="1"/>
    <col min="7" max="7" width="10.5703125" style="111" customWidth="1"/>
    <col min="8" max="8" width="13.140625" style="111" customWidth="1"/>
    <col min="9" max="11" width="9.140625" style="111"/>
    <col min="12" max="12" width="10.140625" style="111" bestFit="1" customWidth="1"/>
    <col min="13" max="16384" width="9.140625" style="111"/>
  </cols>
  <sheetData>
    <row r="1" spans="1:12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2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2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2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2">
      <c r="A8" s="111" t="s">
        <v>24</v>
      </c>
      <c r="B8"/>
      <c r="C8"/>
      <c r="D8"/>
      <c r="E8"/>
      <c r="F8" s="22" t="s">
        <v>23</v>
      </c>
      <c r="G8"/>
      <c r="H8"/>
    </row>
    <row r="9" spans="1:12">
      <c r="A9"/>
      <c r="B9"/>
      <c r="C9"/>
      <c r="D9"/>
      <c r="E9"/>
      <c r="F9" s="112" t="s">
        <v>1123</v>
      </c>
      <c r="G9" s="132" t="s">
        <v>6228</v>
      </c>
      <c r="H9"/>
    </row>
    <row r="10" spans="1:12">
      <c r="A10" s="111" t="s">
        <v>6217</v>
      </c>
      <c r="B10" s="410"/>
      <c r="C10"/>
      <c r="D10"/>
      <c r="E10"/>
      <c r="F10" s="112" t="s">
        <v>1124</v>
      </c>
      <c r="G10" s="132" t="s">
        <v>6210</v>
      </c>
      <c r="H10"/>
    </row>
    <row r="11" spans="1:12">
      <c r="A11" s="410" t="s">
        <v>6218</v>
      </c>
      <c r="B11" s="410"/>
      <c r="C11"/>
      <c r="D11"/>
      <c r="E11"/>
      <c r="F11" s="112" t="s">
        <v>1125</v>
      </c>
      <c r="G11" s="132" t="s">
        <v>1094</v>
      </c>
      <c r="H11"/>
    </row>
    <row r="12" spans="1:12">
      <c r="A12" s="410" t="s">
        <v>6219</v>
      </c>
      <c r="B12" s="410"/>
      <c r="C12"/>
      <c r="D12"/>
      <c r="E12"/>
      <c r="F12" s="112" t="s">
        <v>1096</v>
      </c>
      <c r="G12" s="111" t="s">
        <v>6229</v>
      </c>
      <c r="H12"/>
    </row>
    <row r="13" spans="1:12">
      <c r="A13" s="111" t="s">
        <v>6220</v>
      </c>
      <c r="G13" s="111" t="s">
        <v>5914</v>
      </c>
    </row>
    <row r="15" spans="1:12">
      <c r="L15" s="148"/>
    </row>
    <row r="16" spans="1:12" s="15" customFormat="1" ht="20.100000000000001" customHeight="1">
      <c r="A16" s="18" t="s">
        <v>1140</v>
      </c>
      <c r="B16" s="478" t="s">
        <v>1098</v>
      </c>
      <c r="C16" s="478"/>
      <c r="D16" s="19" t="s">
        <v>14</v>
      </c>
      <c r="E16" s="19"/>
      <c r="F16" s="18"/>
      <c r="G16" s="17"/>
      <c r="H16" s="16" t="s">
        <v>13</v>
      </c>
      <c r="L16" s="148"/>
    </row>
    <row r="18" spans="1:14">
      <c r="A18" s="116"/>
      <c r="B18" s="116"/>
      <c r="C18" s="116"/>
      <c r="D18" s="2" t="s">
        <v>6195</v>
      </c>
      <c r="E18" s="2"/>
      <c r="F18"/>
      <c r="G18"/>
      <c r="H18"/>
      <c r="I18" s="242"/>
    </row>
    <row r="19" spans="1:14">
      <c r="A19"/>
      <c r="B19"/>
      <c r="C19"/>
      <c r="D19" s="2"/>
      <c r="E19" s="2"/>
      <c r="F19"/>
      <c r="G19"/>
      <c r="H19"/>
      <c r="I19"/>
      <c r="K19" s="111" t="s">
        <v>3565</v>
      </c>
      <c r="N19" s="111">
        <f>19060/2</f>
        <v>9530</v>
      </c>
    </row>
    <row r="20" spans="1:14">
      <c r="A20" s="116" t="s">
        <v>6196</v>
      </c>
      <c r="B20" s="116" t="s">
        <v>6221</v>
      </c>
      <c r="C20" s="116"/>
      <c r="D20" s="111" t="s">
        <v>6222</v>
      </c>
      <c r="E20"/>
      <c r="F20"/>
      <c r="G20"/>
      <c r="H20" s="111">
        <v>2500</v>
      </c>
      <c r="I20"/>
      <c r="K20" s="167" t="s">
        <v>3566</v>
      </c>
    </row>
    <row r="21" spans="1:14">
      <c r="A21" s="116"/>
      <c r="B21" s="116"/>
      <c r="C21" s="116"/>
      <c r="E21"/>
      <c r="F21"/>
      <c r="G21"/>
      <c r="I21"/>
    </row>
    <row r="22" spans="1:14">
      <c r="A22" s="116"/>
      <c r="B22" s="116"/>
      <c r="C22" s="121"/>
      <c r="E22"/>
      <c r="F22"/>
      <c r="G22"/>
      <c r="I22"/>
    </row>
    <row r="23" spans="1:14">
      <c r="A23" s="116"/>
      <c r="B23" s="116"/>
      <c r="C23" s="410"/>
      <c r="D23" s="2"/>
      <c r="E23" s="2"/>
      <c r="F23" s="410"/>
      <c r="G23" s="410"/>
      <c r="H23" s="149"/>
      <c r="I23"/>
    </row>
    <row r="24" spans="1:14">
      <c r="A24" s="116"/>
      <c r="B24" s="116"/>
      <c r="C24" s="116"/>
      <c r="D24" s="2"/>
      <c r="E24" s="410"/>
      <c r="F24" s="410"/>
      <c r="H24" s="149"/>
      <c r="I24"/>
    </row>
    <row r="25" spans="1:14">
      <c r="A25" s="116"/>
      <c r="B25" s="116"/>
      <c r="C25" s="116"/>
      <c r="E25" s="410"/>
      <c r="F25" s="410"/>
      <c r="H25" s="149"/>
    </row>
    <row r="26" spans="1:14">
      <c r="A26" s="116"/>
      <c r="B26" s="116"/>
      <c r="C26" s="116"/>
      <c r="E26" s="410"/>
      <c r="F26" s="410"/>
      <c r="H26" s="149"/>
    </row>
    <row r="27" spans="1:14">
      <c r="A27" s="116"/>
      <c r="B27" s="116"/>
      <c r="C27" s="116"/>
      <c r="E27" s="2"/>
      <c r="F27" s="410"/>
      <c r="H27" s="149"/>
    </row>
    <row r="28" spans="1:14">
      <c r="C28" s="116"/>
      <c r="E28" s="2"/>
      <c r="F28" s="410"/>
      <c r="H28" s="149"/>
    </row>
    <row r="29" spans="1:14">
      <c r="A29" s="116"/>
      <c r="B29" s="116"/>
      <c r="C29" s="116"/>
      <c r="E29" s="410"/>
      <c r="F29" s="410"/>
      <c r="H29" s="149"/>
    </row>
    <row r="30" spans="1:14">
      <c r="A30" s="116"/>
      <c r="B30" s="116"/>
      <c r="C30"/>
      <c r="E30"/>
      <c r="F30"/>
      <c r="G30"/>
      <c r="H30" s="149"/>
    </row>
    <row r="31" spans="1:14">
      <c r="A31" s="255"/>
      <c r="B31" s="255"/>
      <c r="C31" s="255"/>
      <c r="E31" s="410"/>
      <c r="F31" s="410"/>
      <c r="G31" s="410"/>
      <c r="H31" s="149"/>
    </row>
    <row r="32" spans="1:14">
      <c r="A32" s="255"/>
      <c r="B32" s="255"/>
      <c r="C32" s="255"/>
      <c r="E32" s="410"/>
      <c r="F32" s="410"/>
      <c r="G32" s="410"/>
      <c r="H32" s="149"/>
    </row>
    <row r="33" spans="1:8">
      <c r="A33" s="120"/>
      <c r="H33" s="149"/>
    </row>
    <row r="34" spans="1:8" ht="13.5" thickBot="1">
      <c r="A34"/>
      <c r="B34"/>
      <c r="C34"/>
      <c r="D34"/>
      <c r="E34"/>
      <c r="F34"/>
      <c r="G34"/>
      <c r="H34" s="117">
        <f>SUM(H19:H33)</f>
        <v>2500</v>
      </c>
    </row>
    <row r="35" spans="1:8" ht="12.75" customHeight="1" thickTop="1">
      <c r="A35"/>
      <c r="B35"/>
      <c r="C35"/>
      <c r="D35"/>
      <c r="E35"/>
      <c r="F35"/>
      <c r="G35"/>
      <c r="H35"/>
    </row>
    <row r="36" spans="1:8" ht="21.75" customHeight="1">
      <c r="A36" s="118" t="s">
        <v>1133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Two Thousand Five Hundred and NO/100 -----------</v>
      </c>
      <c r="C36" s="202"/>
      <c r="D36" s="119"/>
      <c r="E36" s="119"/>
      <c r="F36" s="119"/>
      <c r="G36" s="119"/>
      <c r="H36" s="119"/>
    </row>
    <row r="37" spans="1:8" ht="12" customHeight="1">
      <c r="A37" s="160"/>
      <c r="B37" s="151"/>
      <c r="C37" s="151"/>
      <c r="D37" s="126"/>
      <c r="E37" s="126"/>
      <c r="F37" s="126"/>
      <c r="G37" s="126"/>
      <c r="H37" s="126"/>
    </row>
    <row r="38" spans="1:8" ht="25.5">
      <c r="A38" s="160" t="s">
        <v>3060</v>
      </c>
      <c r="B38"/>
      <c r="C38"/>
      <c r="D38"/>
      <c r="E38"/>
      <c r="F38" s="265" t="s">
        <v>2894</v>
      </c>
      <c r="G38" s="266"/>
      <c r="H38" s="267"/>
    </row>
    <row r="39" spans="1:8">
      <c r="A39"/>
      <c r="B39"/>
      <c r="C39"/>
      <c r="D39"/>
      <c r="E39"/>
      <c r="F39" s="310"/>
      <c r="G39" s="311"/>
      <c r="H39" s="311"/>
    </row>
    <row r="40" spans="1:8">
      <c r="A40"/>
      <c r="B40"/>
      <c r="C40"/>
      <c r="D40" s="121"/>
      <c r="E40" s="121"/>
      <c r="F40"/>
      <c r="G40"/>
      <c r="H40"/>
    </row>
    <row r="41" spans="1:8">
      <c r="A41"/>
      <c r="B41"/>
      <c r="C41"/>
      <c r="D41" s="121"/>
      <c r="E41" s="121"/>
      <c r="F41"/>
      <c r="G41"/>
      <c r="H41"/>
    </row>
    <row r="42" spans="1:8">
      <c r="A42" s="122"/>
      <c r="B42" s="122"/>
      <c r="F42"/>
      <c r="G42"/>
      <c r="H42"/>
    </row>
    <row r="44" spans="1:8">
      <c r="A44" s="123" t="s">
        <v>8</v>
      </c>
      <c r="B44"/>
      <c r="C44"/>
      <c r="D44" s="123" t="s">
        <v>8</v>
      </c>
      <c r="E44"/>
      <c r="F44" s="123" t="s">
        <v>7</v>
      </c>
      <c r="G44"/>
      <c r="H44" s="124"/>
    </row>
    <row r="45" spans="1:8" s="126" customFormat="1" ht="17.100000000000001" customHeight="1">
      <c r="A45" s="151"/>
      <c r="B45" s="125"/>
      <c r="C45" s="125"/>
      <c r="D45" s="151"/>
    </row>
    <row r="47" spans="1:8">
      <c r="A47"/>
      <c r="B47"/>
      <c r="C47"/>
      <c r="D47"/>
      <c r="E47"/>
    </row>
    <row r="48" spans="1:8">
      <c r="A48" s="122"/>
      <c r="B48" s="122"/>
      <c r="D48" s="122"/>
      <c r="E48"/>
      <c r="F48" s="122"/>
      <c r="G48" s="122"/>
      <c r="H48" s="122"/>
    </row>
    <row r="49" spans="1:8">
      <c r="A49" s="111" t="s">
        <v>2948</v>
      </c>
      <c r="B49" s="125"/>
      <c r="C49" s="125"/>
      <c r="D49" s="111" t="s">
        <v>103</v>
      </c>
      <c r="E49" s="126"/>
      <c r="F49" s="126" t="s">
        <v>3</v>
      </c>
      <c r="G49" s="126"/>
      <c r="H49" s="126"/>
    </row>
    <row r="50" spans="1:8">
      <c r="A50"/>
      <c r="B50"/>
      <c r="C50"/>
      <c r="D50"/>
      <c r="E50"/>
      <c r="F50" s="111" t="s">
        <v>2</v>
      </c>
      <c r="G50"/>
      <c r="H50"/>
    </row>
    <row r="52" spans="1:8">
      <c r="A52"/>
      <c r="B52"/>
      <c r="C52"/>
      <c r="D52"/>
      <c r="E52"/>
      <c r="F52" s="2" t="s">
        <v>1</v>
      </c>
      <c r="G52"/>
      <c r="H52"/>
    </row>
    <row r="53" spans="1:8">
      <c r="F53" s="2" t="s">
        <v>0</v>
      </c>
      <c r="G53"/>
    </row>
    <row r="58" spans="1:8">
      <c r="D58"/>
      <c r="E58"/>
      <c r="F58"/>
      <c r="G58"/>
      <c r="H58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0" orientation="portrait" r:id="rId1"/>
  <headerFooter alignWithMargins="0"/>
</worksheet>
</file>

<file path=xl/worksheets/sheet5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17D6A-8A6C-4CC4-A48A-936C9D50D3FD}">
  <sheetPr codeName="Sheet616">
    <pageSetUpPr fitToPage="1"/>
  </sheetPr>
  <dimension ref="A1:O54"/>
  <sheetViews>
    <sheetView view="pageBreakPreview" topLeftCell="A13" zoomScaleNormal="100" zoomScaleSheetLayoutView="100" workbookViewId="0">
      <selection activeCell="G9" sqref="G9:G13"/>
    </sheetView>
  </sheetViews>
  <sheetFormatPr defaultRowHeight="12.75"/>
  <cols>
    <col min="1" max="1" width="16.140625" style="86" customWidth="1"/>
    <col min="2" max="2" width="12.5703125" style="86" customWidth="1"/>
    <col min="3" max="3" width="0.7109375" style="86" customWidth="1"/>
    <col min="4" max="4" width="23" style="86" customWidth="1"/>
    <col min="5" max="5" width="0.7109375" style="86" customWidth="1"/>
    <col min="6" max="6" width="13.85546875" style="86" customWidth="1"/>
    <col min="7" max="7" width="9" style="86" customWidth="1"/>
    <col min="8" max="8" width="12.85546875" style="86" customWidth="1"/>
    <col min="9" max="16384" width="9.140625" style="86"/>
  </cols>
  <sheetData>
    <row r="1" spans="1:15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5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5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5">
      <c r="A4" s="532" t="s">
        <v>1481</v>
      </c>
      <c r="B4" s="532"/>
      <c r="C4" s="532"/>
      <c r="D4" s="532"/>
      <c r="E4" s="532"/>
      <c r="F4" s="532"/>
      <c r="G4" s="532"/>
      <c r="H4" s="532"/>
    </row>
    <row r="8" spans="1:15">
      <c r="A8" s="488" t="s">
        <v>24</v>
      </c>
      <c r="B8" s="488"/>
      <c r="C8" s="488"/>
      <c r="D8" s="488"/>
      <c r="E8" s="488"/>
      <c r="F8" s="87" t="s">
        <v>23</v>
      </c>
      <c r="G8" s="488"/>
      <c r="H8" s="488"/>
    </row>
    <row r="9" spans="1:15">
      <c r="A9" s="488"/>
      <c r="B9" s="488"/>
      <c r="C9" s="488"/>
      <c r="D9" s="488"/>
      <c r="E9" s="488"/>
      <c r="F9" s="489" t="s">
        <v>1127</v>
      </c>
      <c r="G9" s="489" t="s">
        <v>6802</v>
      </c>
      <c r="H9" s="483"/>
    </row>
    <row r="10" spans="1:15">
      <c r="A10" s="488" t="s">
        <v>6804</v>
      </c>
      <c r="B10" s="488"/>
      <c r="C10" s="488"/>
      <c r="D10" s="488"/>
      <c r="E10" s="488"/>
      <c r="F10" s="489" t="s">
        <v>1162</v>
      </c>
      <c r="G10" s="489" t="s">
        <v>6789</v>
      </c>
      <c r="H10" s="483"/>
    </row>
    <row r="11" spans="1:15">
      <c r="A11" s="488" t="s">
        <v>6805</v>
      </c>
      <c r="B11" s="488"/>
      <c r="C11" s="488"/>
      <c r="D11" s="488"/>
      <c r="E11" s="488"/>
      <c r="F11" s="489" t="s">
        <v>1163</v>
      </c>
      <c r="G11" s="489" t="s">
        <v>1094</v>
      </c>
      <c r="H11" s="483"/>
    </row>
    <row r="12" spans="1:15">
      <c r="A12" s="488" t="s">
        <v>6806</v>
      </c>
      <c r="B12" s="488"/>
      <c r="C12" s="488"/>
      <c r="D12" s="488"/>
      <c r="E12" s="488"/>
      <c r="F12" s="489" t="s">
        <v>1135</v>
      </c>
      <c r="G12" s="486" t="s">
        <v>6803</v>
      </c>
      <c r="H12" s="483"/>
    </row>
    <row r="13" spans="1:15">
      <c r="A13" s="488"/>
      <c r="B13" s="488"/>
      <c r="C13" s="488"/>
      <c r="D13" s="488"/>
      <c r="E13" s="488"/>
      <c r="F13" s="488"/>
      <c r="G13" s="488" t="s">
        <v>5914</v>
      </c>
      <c r="H13" s="483"/>
    </row>
    <row r="14" spans="1:15">
      <c r="A14" s="488"/>
      <c r="B14" s="488"/>
      <c r="C14" s="488"/>
      <c r="D14" s="488"/>
      <c r="E14" s="488"/>
      <c r="F14" s="488"/>
      <c r="G14" s="483"/>
      <c r="H14" s="483"/>
    </row>
    <row r="15" spans="1:15">
      <c r="A15" s="488"/>
      <c r="B15" s="488"/>
      <c r="C15" s="488"/>
      <c r="D15" s="488"/>
      <c r="E15" s="488"/>
      <c r="F15" s="488"/>
      <c r="G15" s="488"/>
      <c r="H15" s="488"/>
    </row>
    <row r="16" spans="1:15" s="95" customFormat="1" ht="20.100000000000001" customHeight="1">
      <c r="A16" s="90" t="s">
        <v>1122</v>
      </c>
      <c r="B16" s="90" t="s">
        <v>1132</v>
      </c>
      <c r="C16" s="90"/>
      <c r="D16" s="92" t="s">
        <v>14</v>
      </c>
      <c r="E16" s="92"/>
      <c r="F16" s="90"/>
      <c r="G16" s="93"/>
      <c r="H16" s="94" t="s">
        <v>13</v>
      </c>
      <c r="J16" s="86"/>
      <c r="K16" s="86"/>
      <c r="L16" s="491" t="s">
        <v>3271</v>
      </c>
      <c r="M16" s="86"/>
      <c r="N16" s="86"/>
      <c r="O16" s="86"/>
    </row>
    <row r="17" spans="1:15">
      <c r="A17" s="488"/>
      <c r="B17" s="488"/>
      <c r="C17" s="488"/>
      <c r="D17" s="488"/>
      <c r="E17" s="488"/>
      <c r="F17" s="488"/>
      <c r="G17" s="488"/>
      <c r="H17" s="488"/>
    </row>
    <row r="18" spans="1:15">
      <c r="D18" s="491" t="s">
        <v>6807</v>
      </c>
      <c r="E18" s="491"/>
      <c r="J18" s="492"/>
      <c r="K18" s="141" t="s">
        <v>3590</v>
      </c>
      <c r="L18" s="488" t="s">
        <v>3591</v>
      </c>
      <c r="O18" s="488">
        <v>296.60000000000002</v>
      </c>
    </row>
    <row r="19" spans="1:15">
      <c r="J19" s="492"/>
      <c r="K19" s="141"/>
      <c r="L19" s="488"/>
      <c r="O19" s="488"/>
    </row>
    <row r="20" spans="1:15">
      <c r="A20" s="492" t="s">
        <v>6808</v>
      </c>
      <c r="B20" s="492" t="s">
        <v>6809</v>
      </c>
      <c r="C20" s="492"/>
      <c r="D20" s="488" t="s">
        <v>6810</v>
      </c>
      <c r="E20" s="488"/>
      <c r="H20" s="488">
        <v>500</v>
      </c>
      <c r="J20" s="492"/>
      <c r="K20" s="141"/>
      <c r="L20" s="488" t="s">
        <v>1814</v>
      </c>
      <c r="M20" s="488"/>
      <c r="N20" s="488"/>
      <c r="O20" s="488">
        <f>O18*6%</f>
        <v>17.795999999999999</v>
      </c>
    </row>
    <row r="21" spans="1:15">
      <c r="A21" s="492"/>
      <c r="B21" s="141"/>
      <c r="C21" s="141"/>
      <c r="D21" s="488" t="s">
        <v>6811</v>
      </c>
      <c r="E21" s="488"/>
      <c r="H21" s="488">
        <v>2600</v>
      </c>
      <c r="J21" s="492"/>
      <c r="K21" s="141"/>
      <c r="L21" s="488"/>
      <c r="M21" s="488"/>
      <c r="N21" s="488"/>
      <c r="O21" s="488"/>
    </row>
    <row r="22" spans="1:15">
      <c r="A22" s="492"/>
      <c r="B22" s="141"/>
      <c r="C22" s="141"/>
      <c r="D22" s="488"/>
      <c r="E22" s="488"/>
      <c r="F22" s="488"/>
      <c r="G22" s="488"/>
      <c r="H22" s="488"/>
    </row>
    <row r="23" spans="1:15">
      <c r="A23" s="492"/>
      <c r="B23" s="141"/>
      <c r="C23" s="141"/>
      <c r="D23" s="488"/>
      <c r="E23" s="488"/>
      <c r="F23" s="488"/>
      <c r="G23" s="488"/>
      <c r="H23" s="488"/>
    </row>
    <row r="24" spans="1:15">
      <c r="A24" s="492"/>
      <c r="B24" s="141"/>
      <c r="C24" s="141"/>
      <c r="D24" s="488"/>
      <c r="E24" s="488"/>
      <c r="H24" s="488"/>
    </row>
    <row r="25" spans="1:15">
      <c r="A25" s="492"/>
      <c r="B25" s="141"/>
      <c r="C25" s="141"/>
      <c r="D25" s="488"/>
      <c r="E25" s="488"/>
      <c r="H25" s="488"/>
    </row>
    <row r="26" spans="1:15">
      <c r="A26" s="492"/>
      <c r="B26" s="141"/>
      <c r="C26" s="141"/>
      <c r="D26" s="488"/>
      <c r="E26" s="488"/>
      <c r="F26" s="488"/>
      <c r="G26" s="488"/>
      <c r="H26" s="488"/>
    </row>
    <row r="27" spans="1:15">
      <c r="A27" s="492"/>
      <c r="B27" s="492"/>
      <c r="C27" s="492"/>
      <c r="D27" s="488"/>
      <c r="E27" s="488"/>
      <c r="F27" s="488"/>
      <c r="G27" s="488"/>
      <c r="H27" s="488"/>
    </row>
    <row r="28" spans="1:15">
      <c r="A28" s="492"/>
      <c r="B28" s="141"/>
      <c r="C28" s="141"/>
      <c r="D28" s="488"/>
      <c r="E28" s="488"/>
      <c r="F28" s="488"/>
      <c r="G28" s="488"/>
      <c r="H28" s="488"/>
    </row>
    <row r="29" spans="1:15">
      <c r="A29" s="492"/>
      <c r="B29" s="140"/>
      <c r="C29" s="140"/>
      <c r="D29" s="491"/>
      <c r="E29" s="491"/>
      <c r="F29" s="488"/>
      <c r="G29" s="488"/>
      <c r="H29" s="488"/>
    </row>
    <row r="30" spans="1:15">
      <c r="B30" s="140"/>
      <c r="C30" s="140"/>
      <c r="D30" s="488"/>
      <c r="E30" s="488"/>
      <c r="F30" s="488"/>
      <c r="G30" s="488"/>
      <c r="H30" s="488"/>
    </row>
    <row r="31" spans="1:15">
      <c r="A31" s="492"/>
      <c r="B31" s="492"/>
      <c r="C31" s="492"/>
      <c r="D31" s="488"/>
      <c r="E31" s="488"/>
      <c r="F31" s="488"/>
      <c r="G31" s="488"/>
      <c r="H31" s="488"/>
    </row>
    <row r="32" spans="1:15">
      <c r="A32" s="488"/>
      <c r="B32" s="488"/>
      <c r="C32" s="488"/>
      <c r="D32" s="488"/>
      <c r="E32" s="488"/>
      <c r="F32" s="488"/>
      <c r="G32" s="488"/>
    </row>
    <row r="33" spans="1:8" ht="13.5" thickBot="1">
      <c r="A33" s="488"/>
      <c r="B33" s="488"/>
      <c r="C33" s="488"/>
      <c r="D33" s="488"/>
      <c r="E33" s="488"/>
      <c r="F33" s="488"/>
      <c r="G33" s="488"/>
      <c r="H33" s="137">
        <f>SUM(H20:H32)</f>
        <v>3100</v>
      </c>
    </row>
    <row r="34" spans="1:8" ht="13.5" thickTop="1">
      <c r="A34" s="488"/>
      <c r="B34" s="488"/>
      <c r="C34" s="488"/>
      <c r="D34" s="488"/>
      <c r="E34" s="488"/>
      <c r="F34" s="488"/>
      <c r="G34" s="488"/>
      <c r="H34" s="488"/>
    </row>
    <row r="35" spans="1:8" ht="20.100000000000001" customHeight="1">
      <c r="A35" s="138" t="s">
        <v>1133</v>
      </c>
      <c r="B35" s="204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Three Thousand One Hundred and NO/100 -----------</v>
      </c>
      <c r="C35" s="204"/>
      <c r="D35" s="139"/>
      <c r="E35" s="139"/>
      <c r="F35" s="139"/>
      <c r="G35" s="139"/>
      <c r="H35" s="139"/>
    </row>
    <row r="36" spans="1:8">
      <c r="A36" s="140" t="s">
        <v>11</v>
      </c>
      <c r="B36" s="488"/>
      <c r="C36" s="488"/>
      <c r="D36" s="488"/>
      <c r="E36" s="488"/>
      <c r="F36" s="488"/>
      <c r="G36" s="488"/>
      <c r="H36" s="488"/>
    </row>
    <row r="37" spans="1:8" ht="25.5">
      <c r="A37" s="488" t="s">
        <v>10</v>
      </c>
      <c r="B37" s="488"/>
      <c r="C37" s="488"/>
      <c r="D37" s="488"/>
      <c r="E37" s="488"/>
      <c r="F37" s="283" t="s">
        <v>2894</v>
      </c>
      <c r="G37" s="284"/>
      <c r="H37" s="285"/>
    </row>
    <row r="38" spans="1:8">
      <c r="A38" s="488"/>
      <c r="B38" s="488"/>
      <c r="C38" s="488"/>
      <c r="D38" s="488"/>
      <c r="E38" s="488"/>
      <c r="F38" s="488"/>
      <c r="G38" s="488"/>
      <c r="H38" s="488"/>
    </row>
    <row r="39" spans="1:8">
      <c r="A39" s="490"/>
      <c r="B39" s="488"/>
      <c r="C39" s="488"/>
      <c r="D39" s="488"/>
      <c r="E39" s="488"/>
    </row>
    <row r="40" spans="1:8">
      <c r="A40" s="488"/>
      <c r="B40" s="488"/>
      <c r="C40" s="488"/>
      <c r="D40" s="141"/>
      <c r="E40" s="141"/>
    </row>
    <row r="41" spans="1:8">
      <c r="A41" s="142"/>
      <c r="B41" s="142"/>
      <c r="C41" s="445"/>
      <c r="D41" s="488"/>
      <c r="E41" s="488"/>
      <c r="F41" s="488"/>
      <c r="G41" s="488"/>
      <c r="H41" s="488"/>
    </row>
    <row r="42" spans="1:8">
      <c r="B42" s="488"/>
      <c r="C42" s="488"/>
      <c r="D42" s="488"/>
      <c r="E42" s="488"/>
      <c r="F42" s="488"/>
      <c r="G42" s="488"/>
      <c r="H42" s="488"/>
    </row>
    <row r="43" spans="1:8">
      <c r="A43" s="493" t="s">
        <v>8</v>
      </c>
      <c r="D43" s="493" t="s">
        <v>8</v>
      </c>
      <c r="E43" s="488"/>
      <c r="F43" s="493" t="s">
        <v>7</v>
      </c>
      <c r="G43" s="488"/>
      <c r="H43" s="144"/>
    </row>
    <row r="44" spans="1:8">
      <c r="A44" s="488"/>
      <c r="B44" s="488"/>
      <c r="C44" s="488"/>
      <c r="D44" s="488"/>
      <c r="E44" s="488"/>
      <c r="F44" s="488"/>
      <c r="G44" s="488"/>
      <c r="H44" s="488"/>
    </row>
    <row r="45" spans="1:8">
      <c r="A45" s="488"/>
      <c r="B45" s="488"/>
      <c r="C45" s="488"/>
      <c r="D45" s="488"/>
      <c r="E45" s="488"/>
      <c r="F45" s="488"/>
      <c r="G45" s="488"/>
      <c r="H45" s="488"/>
    </row>
    <row r="46" spans="1:8">
      <c r="A46" s="488"/>
      <c r="B46" s="488"/>
      <c r="C46" s="488"/>
      <c r="D46" s="488"/>
      <c r="E46" s="488"/>
      <c r="F46" s="488"/>
      <c r="G46" s="488"/>
      <c r="H46" s="488"/>
    </row>
    <row r="47" spans="1:8">
      <c r="A47" s="142"/>
      <c r="B47" s="142"/>
      <c r="C47" s="445"/>
      <c r="D47" s="142"/>
      <c r="E47" s="488"/>
      <c r="F47" s="142"/>
      <c r="G47" s="142"/>
      <c r="H47" s="142"/>
    </row>
    <row r="48" spans="1:8" s="109" customFormat="1" ht="17.100000000000001" customHeight="1">
      <c r="A48" s="494" t="s">
        <v>2948</v>
      </c>
      <c r="B48" s="146"/>
      <c r="C48" s="146"/>
      <c r="D48" s="494" t="s">
        <v>103</v>
      </c>
      <c r="E48" s="490"/>
      <c r="F48" s="490" t="s">
        <v>3</v>
      </c>
      <c r="G48" s="490"/>
      <c r="H48" s="490"/>
    </row>
    <row r="49" spans="1:8">
      <c r="A49" s="488"/>
      <c r="B49" s="488"/>
      <c r="C49" s="488"/>
      <c r="D49" s="488"/>
      <c r="E49" s="488"/>
      <c r="F49" s="488" t="s">
        <v>2</v>
      </c>
      <c r="G49" s="488"/>
      <c r="H49" s="488"/>
    </row>
    <row r="50" spans="1:8">
      <c r="A50" s="494"/>
      <c r="B50" s="488"/>
      <c r="C50" s="488"/>
      <c r="D50" s="488"/>
      <c r="E50" s="488"/>
      <c r="F50" s="488"/>
      <c r="G50" s="488"/>
      <c r="H50" s="488"/>
    </row>
    <row r="51" spans="1:8">
      <c r="A51" s="488"/>
      <c r="B51" s="488"/>
      <c r="C51" s="488"/>
      <c r="D51" s="488"/>
      <c r="E51" s="488"/>
      <c r="F51" s="491" t="s">
        <v>1</v>
      </c>
      <c r="G51" s="488"/>
      <c r="H51" s="488"/>
    </row>
    <row r="52" spans="1:8">
      <c r="A52" s="488"/>
      <c r="B52" s="488"/>
      <c r="C52" s="488"/>
      <c r="D52" s="488"/>
      <c r="E52" s="488"/>
      <c r="F52" s="491" t="s">
        <v>0</v>
      </c>
      <c r="G52" s="488"/>
      <c r="H52" s="488"/>
    </row>
    <row r="53" spans="1:8">
      <c r="A53" s="488"/>
      <c r="B53" s="488"/>
      <c r="C53" s="488"/>
      <c r="D53" s="488"/>
      <c r="E53" s="488"/>
      <c r="F53" s="488"/>
      <c r="G53" s="488"/>
      <c r="H53" s="488"/>
    </row>
    <row r="54" spans="1:8">
      <c r="A54" s="488"/>
      <c r="B54" s="488"/>
      <c r="C54" s="488"/>
      <c r="D54" s="488"/>
      <c r="E54" s="488"/>
      <c r="F54" s="488"/>
      <c r="G54" s="488"/>
      <c r="H54" s="488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29466-F3FB-4203-B772-5E28DF54473A}">
  <sheetPr codeName="Sheet550"/>
  <dimension ref="A1:I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1.140625" style="1" customWidth="1"/>
    <col min="4" max="4" width="23" style="1" customWidth="1"/>
    <col min="5" max="5" width="0.7109375" style="1" customWidth="1"/>
    <col min="6" max="6" width="13.71093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32" t="s">
        <v>5759</v>
      </c>
      <c r="H9" s="111"/>
    </row>
    <row r="10" spans="1:8">
      <c r="A10" s="111" t="s">
        <v>5678</v>
      </c>
      <c r="B10" s="111"/>
      <c r="C10" s="111"/>
      <c r="D10" s="111"/>
      <c r="E10" s="111"/>
      <c r="F10" s="112" t="s">
        <v>1162</v>
      </c>
      <c r="G10" s="132" t="s">
        <v>5757</v>
      </c>
      <c r="H10" s="111"/>
    </row>
    <row r="11" spans="1:8">
      <c r="A11" s="111" t="s">
        <v>5679</v>
      </c>
      <c r="B11" s="111"/>
      <c r="C11" s="111"/>
      <c r="D11" s="111"/>
      <c r="E11" s="111"/>
      <c r="F11" s="112" t="s">
        <v>1163</v>
      </c>
      <c r="G11" s="132" t="s">
        <v>1094</v>
      </c>
      <c r="H11" s="111"/>
    </row>
    <row r="12" spans="1:8">
      <c r="A12" s="111" t="s">
        <v>5680</v>
      </c>
      <c r="B12" s="111"/>
      <c r="C12" s="111"/>
      <c r="D12" s="111"/>
      <c r="E12" s="111"/>
      <c r="F12" s="112" t="s">
        <v>1096</v>
      </c>
      <c r="G12" s="111" t="s">
        <v>5760</v>
      </c>
      <c r="H12" s="111"/>
    </row>
    <row r="13" spans="1:8">
      <c r="A13" s="111" t="s">
        <v>1287</v>
      </c>
      <c r="B13" s="111"/>
      <c r="C13" s="111"/>
      <c r="D13" s="111"/>
      <c r="E13" s="111"/>
      <c r="F13" s="111"/>
      <c r="G13" s="11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443" t="s">
        <v>1098</v>
      </c>
      <c r="C16" s="447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</row>
    <row r="18" spans="1:9">
      <c r="A18" s="116" t="s">
        <v>5676</v>
      </c>
      <c r="B18" s="116" t="s">
        <v>5681</v>
      </c>
      <c r="C18" s="116"/>
      <c r="D18" s="111" t="s">
        <v>5761</v>
      </c>
      <c r="E18" s="111"/>
      <c r="F18" s="111"/>
      <c r="G18" s="111"/>
      <c r="H18" s="111">
        <v>1000</v>
      </c>
      <c r="I18" s="242"/>
    </row>
    <row r="19" spans="1:9">
      <c r="A19" s="111"/>
      <c r="B19" s="111"/>
      <c r="C19" s="111"/>
      <c r="D19" s="111" t="s">
        <v>5762</v>
      </c>
      <c r="E19" s="111"/>
      <c r="F19" s="111"/>
      <c r="G19" s="111"/>
      <c r="H19" s="111">
        <v>1000</v>
      </c>
      <c r="I19" s="111"/>
    </row>
    <row r="20" spans="1:9">
      <c r="A20" s="116"/>
      <c r="B20" s="116"/>
      <c r="C20" s="116"/>
      <c r="D20" s="111"/>
      <c r="E20" s="111"/>
      <c r="F20" s="111"/>
      <c r="G20" s="111"/>
      <c r="H20" s="111"/>
      <c r="I20" s="111"/>
    </row>
    <row r="21" spans="1:9">
      <c r="A21" s="111"/>
      <c r="B21" s="111"/>
      <c r="C21" s="111"/>
      <c r="D21" s="111"/>
      <c r="E21" s="111"/>
      <c r="F21" s="111"/>
      <c r="G21" s="111"/>
      <c r="H21" s="111"/>
      <c r="I21" s="111"/>
    </row>
    <row r="22" spans="1:9">
      <c r="A22" s="111"/>
      <c r="B22" s="111"/>
      <c r="C22" s="111"/>
      <c r="D22" s="111"/>
      <c r="E22" s="111"/>
      <c r="F22" s="111"/>
      <c r="G22" s="111"/>
      <c r="H22" s="111"/>
      <c r="I22" s="111"/>
    </row>
    <row r="23" spans="1:9">
      <c r="A23" s="111"/>
      <c r="B23" s="111"/>
      <c r="C23" s="111"/>
      <c r="D23" s="111"/>
      <c r="E23" s="111"/>
      <c r="F23" s="111"/>
      <c r="G23" s="111"/>
      <c r="H23" s="111"/>
      <c r="I23" s="111"/>
    </row>
    <row r="24" spans="1:9">
      <c r="A24" s="111"/>
      <c r="B24" s="111"/>
      <c r="C24" s="111"/>
      <c r="D24" s="111"/>
      <c r="E24" s="111"/>
      <c r="F24" s="111"/>
      <c r="G24" s="111"/>
      <c r="H24" s="111"/>
      <c r="I24" s="111"/>
    </row>
    <row r="25" spans="1:9">
      <c r="A25" s="111"/>
      <c r="B25" s="111"/>
      <c r="C25" s="111"/>
      <c r="D25" s="111"/>
      <c r="E25" s="111"/>
      <c r="F25" s="111"/>
      <c r="G25" s="111"/>
      <c r="H25" s="111"/>
      <c r="I25" s="111"/>
    </row>
    <row r="26" spans="1:9">
      <c r="A26" s="116"/>
      <c r="B26" s="121"/>
      <c r="C26" s="121"/>
      <c r="D26" s="111"/>
      <c r="E26" s="111"/>
      <c r="F26" s="111"/>
      <c r="G26" s="111"/>
      <c r="H26" s="111"/>
    </row>
    <row r="27" spans="1:9">
      <c r="A27" s="111"/>
      <c r="B27" s="111"/>
      <c r="C27" s="111"/>
      <c r="D27" s="111"/>
      <c r="E27" s="111"/>
      <c r="F27" s="111"/>
      <c r="G27" s="111"/>
      <c r="H27" s="111"/>
    </row>
    <row r="28" spans="1:9">
      <c r="A28" s="120"/>
      <c r="B28" s="111"/>
      <c r="C28" s="111"/>
      <c r="D28" s="111"/>
      <c r="E28" s="111"/>
      <c r="F28" s="111"/>
      <c r="G28" s="111"/>
      <c r="H28" s="111"/>
    </row>
    <row r="29" spans="1:9">
      <c r="A29" s="111"/>
      <c r="B29" s="111"/>
      <c r="C29" s="111"/>
      <c r="D29" s="111"/>
      <c r="E29" s="111"/>
      <c r="F29" s="111"/>
      <c r="G29" s="111"/>
      <c r="H29" s="111"/>
    </row>
    <row r="30" spans="1:9">
      <c r="A30" s="111"/>
      <c r="B30" s="111"/>
      <c r="C30" s="111"/>
      <c r="D30" s="111"/>
      <c r="E30" s="111"/>
      <c r="F30" s="111"/>
      <c r="G30" s="111"/>
      <c r="H30" s="111"/>
    </row>
    <row r="31" spans="1:9">
      <c r="A31" s="111"/>
      <c r="B31" s="111"/>
      <c r="C31" s="111"/>
      <c r="D31" s="111"/>
      <c r="E31" s="111"/>
      <c r="F31" s="111"/>
      <c r="G31" s="111"/>
      <c r="H31" s="111"/>
    </row>
    <row r="32" spans="1:9">
      <c r="A32" s="123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23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SUM(H18:H34)</f>
        <v>2000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Thousand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433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433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18"/>
  <dimension ref="A1:F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140625" style="86" customWidth="1"/>
    <col min="2" max="2" width="13.42578125" style="86" customWidth="1"/>
    <col min="3" max="3" width="23" style="86" customWidth="1"/>
    <col min="4" max="4" width="13.85546875" style="86" customWidth="1"/>
    <col min="5" max="5" width="9" style="86" customWidth="1"/>
    <col min="6" max="6" width="12.85546875" style="86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1481</v>
      </c>
      <c r="B4" s="532"/>
      <c r="C4" s="532"/>
      <c r="D4" s="532"/>
      <c r="E4" s="532"/>
      <c r="F4" s="532"/>
    </row>
    <row r="8" spans="1:6">
      <c r="A8" s="131" t="s">
        <v>24</v>
      </c>
      <c r="B8" s="131"/>
      <c r="C8" s="131"/>
      <c r="D8" s="87" t="s">
        <v>23</v>
      </c>
      <c r="E8" s="131"/>
      <c r="F8" s="131"/>
    </row>
    <row r="9" spans="1:6">
      <c r="A9" s="131"/>
      <c r="B9" s="131"/>
      <c r="C9" s="131"/>
      <c r="D9" s="132" t="s">
        <v>1127</v>
      </c>
      <c r="E9" s="111" t="s">
        <v>4371</v>
      </c>
      <c r="F9" s="131"/>
    </row>
    <row r="10" spans="1:6">
      <c r="A10" s="131" t="s">
        <v>3359</v>
      </c>
      <c r="B10" s="131"/>
      <c r="C10" s="131"/>
      <c r="D10" s="132" t="s">
        <v>1162</v>
      </c>
      <c r="E10" s="123" t="s">
        <v>4369</v>
      </c>
      <c r="F10" s="131"/>
    </row>
    <row r="11" spans="1:6">
      <c r="A11" s="131" t="s">
        <v>3360</v>
      </c>
      <c r="B11" s="131"/>
      <c r="C11" s="131"/>
      <c r="D11" s="132" t="s">
        <v>1163</v>
      </c>
      <c r="E11" s="112" t="s">
        <v>1094</v>
      </c>
      <c r="F11" s="131"/>
    </row>
    <row r="12" spans="1:6">
      <c r="A12" s="131" t="s">
        <v>3361</v>
      </c>
      <c r="B12" s="131"/>
      <c r="C12" s="131"/>
      <c r="D12" s="132" t="s">
        <v>1135</v>
      </c>
      <c r="E12" s="120" t="s">
        <v>4372</v>
      </c>
      <c r="F12" s="131"/>
    </row>
    <row r="13" spans="1:6">
      <c r="A13" s="131" t="s">
        <v>3362</v>
      </c>
      <c r="B13" s="131"/>
      <c r="C13" s="131"/>
      <c r="D13" s="131"/>
      <c r="E13" s="111"/>
      <c r="F13" s="131"/>
    </row>
    <row r="14" spans="1:6">
      <c r="A14" s="131"/>
      <c r="B14" s="131"/>
      <c r="C14" s="131"/>
      <c r="D14" s="131"/>
      <c r="E14" s="131"/>
      <c r="F14" s="131"/>
    </row>
    <row r="15" spans="1:6">
      <c r="A15" s="131"/>
      <c r="B15" s="131"/>
      <c r="C15" s="131"/>
      <c r="D15" s="131"/>
      <c r="E15" s="131"/>
      <c r="F15" s="131"/>
    </row>
    <row r="16" spans="1:6" s="95" customFormat="1" ht="20.100000000000001" customHeight="1">
      <c r="A16" s="90" t="s">
        <v>1122</v>
      </c>
      <c r="B16" s="90" t="s">
        <v>1132</v>
      </c>
      <c r="C16" s="92" t="s">
        <v>14</v>
      </c>
      <c r="D16" s="90"/>
      <c r="E16" s="93"/>
      <c r="F16" s="94" t="s">
        <v>13</v>
      </c>
    </row>
    <row r="17" spans="1:6">
      <c r="A17" s="131"/>
      <c r="B17" s="131"/>
      <c r="C17" s="131"/>
      <c r="D17" s="131"/>
      <c r="E17" s="131"/>
      <c r="F17" s="131"/>
    </row>
    <row r="18" spans="1:6">
      <c r="A18" s="162"/>
      <c r="B18" s="131"/>
      <c r="C18" s="110" t="s">
        <v>4317</v>
      </c>
      <c r="D18" s="131"/>
      <c r="E18" s="131"/>
      <c r="F18" s="131"/>
    </row>
    <row r="19" spans="1:6">
      <c r="A19" s="131"/>
      <c r="B19" s="131"/>
      <c r="C19" s="110"/>
      <c r="D19" s="131"/>
      <c r="E19" s="131"/>
      <c r="F19" s="131"/>
    </row>
    <row r="20" spans="1:6">
      <c r="A20" s="165" t="s">
        <v>4373</v>
      </c>
      <c r="B20" s="141" t="s">
        <v>4374</v>
      </c>
      <c r="C20" s="140" t="s">
        <v>4375</v>
      </c>
      <c r="D20" s="131"/>
      <c r="E20" s="131"/>
      <c r="F20" s="131">
        <f>0.46*3000</f>
        <v>1380</v>
      </c>
    </row>
    <row r="21" spans="1:6">
      <c r="A21" s="246"/>
      <c r="B21" s="131"/>
      <c r="C21" s="131" t="s">
        <v>1814</v>
      </c>
      <c r="F21" s="131">
        <f>F20*6%</f>
        <v>82.8</v>
      </c>
    </row>
    <row r="22" spans="1:6">
      <c r="A22" s="162"/>
      <c r="B22" s="245"/>
      <c r="C22" s="131"/>
      <c r="D22" s="131"/>
      <c r="E22" s="131"/>
      <c r="F22" s="131"/>
    </row>
    <row r="23" spans="1:6">
      <c r="C23" s="131"/>
      <c r="F23" s="131"/>
    </row>
    <row r="24" spans="1:6">
      <c r="A24" s="244"/>
      <c r="B24" s="131"/>
      <c r="C24" s="131"/>
      <c r="F24" s="131"/>
    </row>
    <row r="25" spans="1:6">
      <c r="A25" s="246"/>
      <c r="B25" s="131"/>
      <c r="C25" s="131"/>
      <c r="F25" s="131"/>
    </row>
    <row r="26" spans="1:6">
      <c r="A26" s="162"/>
      <c r="C26" s="131"/>
      <c r="F26" s="131"/>
    </row>
    <row r="27" spans="1:6">
      <c r="B27" s="131"/>
      <c r="C27" s="131"/>
      <c r="F27" s="131"/>
    </row>
    <row r="28" spans="1:6">
      <c r="A28" s="244"/>
      <c r="B28" s="131"/>
      <c r="C28" s="110"/>
      <c r="F28" s="131"/>
    </row>
    <row r="29" spans="1:6">
      <c r="A29" s="246"/>
      <c r="B29" s="131"/>
      <c r="C29" s="131"/>
      <c r="F29" s="131"/>
    </row>
    <row r="30" spans="1:6">
      <c r="A30" s="244"/>
      <c r="B30" s="131"/>
      <c r="C30" s="131"/>
      <c r="F30" s="131"/>
    </row>
    <row r="31" spans="1:6">
      <c r="A31" s="246"/>
      <c r="B31" s="131"/>
      <c r="C31" s="110"/>
      <c r="F31" s="131"/>
    </row>
    <row r="32" spans="1:6">
      <c r="A32" s="162"/>
      <c r="B32" s="131"/>
      <c r="C32" s="131"/>
      <c r="F32" s="131"/>
    </row>
    <row r="33" spans="1:6">
      <c r="A33" s="246"/>
      <c r="B33" s="131"/>
      <c r="C33" s="131"/>
      <c r="F33" s="131"/>
    </row>
    <row r="34" spans="1:6">
      <c r="A34" s="162"/>
      <c r="B34" s="131"/>
      <c r="C34" s="131"/>
      <c r="F34" s="131"/>
    </row>
    <row r="35" spans="1:6" ht="13.5" thickBot="1">
      <c r="A35" s="131"/>
      <c r="B35" s="131"/>
      <c r="C35" s="131"/>
      <c r="D35" s="131"/>
      <c r="E35" s="131"/>
      <c r="F35" s="164">
        <f>SUM(F19:F34)</f>
        <v>1462.8</v>
      </c>
    </row>
    <row r="36" spans="1:6" ht="13.5" thickTop="1">
      <c r="A36" s="147"/>
      <c r="B36" s="131"/>
      <c r="C36" s="131"/>
    </row>
    <row r="37" spans="1:6" ht="20.100000000000001" customHeight="1">
      <c r="A37" s="138" t="s">
        <v>1133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Four Hundred Sixty-Two and 80/100 -----------</v>
      </c>
      <c r="C37" s="139"/>
      <c r="D37" s="139"/>
      <c r="E37" s="139"/>
      <c r="F37" s="139"/>
    </row>
    <row r="38" spans="1:6">
      <c r="A38" s="140" t="s">
        <v>11</v>
      </c>
      <c r="B38" s="131"/>
      <c r="C38" s="131"/>
      <c r="D38" s="131"/>
      <c r="E38" s="131"/>
      <c r="F38" s="131"/>
    </row>
    <row r="39" spans="1:6" ht="25.5">
      <c r="A39" s="147" t="s">
        <v>10</v>
      </c>
      <c r="B39" s="131"/>
      <c r="C39" s="131"/>
      <c r="D39" s="283" t="s">
        <v>2894</v>
      </c>
      <c r="E39" s="284"/>
      <c r="F39" s="285"/>
    </row>
    <row r="40" spans="1:6">
      <c r="A40" s="131"/>
      <c r="B40" s="131"/>
      <c r="C40" s="131"/>
      <c r="D40" s="131"/>
      <c r="E40" s="131"/>
      <c r="F40" s="131"/>
    </row>
    <row r="41" spans="1:6">
      <c r="A41" s="145"/>
      <c r="B41" s="131"/>
      <c r="C41" s="131"/>
      <c r="D41" s="131"/>
      <c r="E41" s="131"/>
      <c r="F41" s="131"/>
    </row>
    <row r="42" spans="1:6">
      <c r="A42" s="131"/>
      <c r="B42" s="131"/>
      <c r="C42" s="141"/>
      <c r="D42" s="131"/>
      <c r="E42" s="131"/>
      <c r="F42" s="131"/>
    </row>
    <row r="43" spans="1:6">
      <c r="A43" s="142"/>
      <c r="B43" s="142"/>
      <c r="C43" s="131"/>
      <c r="D43" s="131"/>
      <c r="E43" s="131"/>
      <c r="F43" s="131"/>
    </row>
    <row r="44" spans="1:6">
      <c r="B44" s="131"/>
      <c r="C44" s="131"/>
      <c r="D44" s="131"/>
      <c r="E44" s="131"/>
      <c r="F44" s="131"/>
    </row>
    <row r="45" spans="1:6">
      <c r="A45" s="143" t="s">
        <v>8</v>
      </c>
      <c r="C45" s="131"/>
      <c r="D45" s="143" t="s">
        <v>7</v>
      </c>
      <c r="E45" s="131"/>
      <c r="F45" s="144"/>
    </row>
    <row r="46" spans="1:6">
      <c r="A46" s="131"/>
      <c r="B46" s="131"/>
      <c r="C46" s="131"/>
      <c r="D46" s="131"/>
      <c r="E46" s="131"/>
      <c r="F46" s="131"/>
    </row>
    <row r="47" spans="1:6">
      <c r="A47" s="131"/>
      <c r="B47" s="131"/>
      <c r="C47" s="131"/>
      <c r="D47" s="131"/>
      <c r="E47" s="131"/>
      <c r="F47" s="131"/>
    </row>
    <row r="48" spans="1:6">
      <c r="A48" s="131"/>
      <c r="B48" s="131"/>
      <c r="C48" s="131"/>
      <c r="D48" s="131"/>
      <c r="E48" s="131"/>
      <c r="F48" s="131"/>
    </row>
    <row r="49" spans="1:6">
      <c r="A49" s="142"/>
      <c r="B49" s="142"/>
      <c r="C49" s="131"/>
      <c r="D49" s="142"/>
      <c r="E49" s="142"/>
      <c r="F49" s="142"/>
    </row>
    <row r="50" spans="1:6" s="109" customFormat="1" ht="17.100000000000001" customHeight="1">
      <c r="A50" s="145" t="s">
        <v>2948</v>
      </c>
      <c r="B50" s="146"/>
      <c r="C50" s="147"/>
      <c r="D50" s="147" t="s">
        <v>3</v>
      </c>
      <c r="E50" s="147"/>
      <c r="F50" s="147"/>
    </row>
    <row r="51" spans="1:6">
      <c r="A51" s="131"/>
      <c r="B51" s="131"/>
      <c r="C51" s="131"/>
      <c r="D51" s="131" t="s">
        <v>2</v>
      </c>
      <c r="E51" s="131"/>
      <c r="F51" s="131"/>
    </row>
    <row r="52" spans="1:6">
      <c r="A52" s="131"/>
      <c r="B52" s="131"/>
      <c r="C52" s="131"/>
      <c r="D52" s="131"/>
      <c r="E52" s="131"/>
      <c r="F52" s="131"/>
    </row>
    <row r="53" spans="1:6">
      <c r="A53" s="131"/>
      <c r="B53" s="131"/>
      <c r="C53" s="131"/>
      <c r="D53" s="110" t="s">
        <v>1</v>
      </c>
      <c r="E53" s="131"/>
      <c r="F53" s="131"/>
    </row>
    <row r="54" spans="1:6">
      <c r="A54" s="131"/>
      <c r="B54" s="131"/>
      <c r="C54" s="131"/>
      <c r="D54" s="110" t="s">
        <v>0</v>
      </c>
      <c r="E54" s="131"/>
      <c r="F54" s="131"/>
    </row>
    <row r="55" spans="1:6">
      <c r="A55" s="131"/>
      <c r="B55" s="131"/>
      <c r="C55" s="131"/>
      <c r="D55" s="131"/>
      <c r="E55" s="131"/>
      <c r="F55" s="131"/>
    </row>
    <row r="56" spans="1:6">
      <c r="A56" s="131"/>
      <c r="B56" s="131"/>
      <c r="C56" s="131"/>
      <c r="D56" s="131"/>
      <c r="E56" s="131"/>
      <c r="F56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5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1-000000000000}">
  <sheetPr codeName="Sheet452">
    <pageSetUpPr fitToPage="1"/>
  </sheetPr>
  <dimension ref="A1:I54"/>
  <sheetViews>
    <sheetView topLeftCell="A4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0.7109375" style="1" customWidth="1"/>
    <col min="4" max="4" width="23" style="1" customWidth="1"/>
    <col min="5" max="5" width="0.4257812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488" t="s">
        <v>6563</v>
      </c>
      <c r="H9" s="111"/>
    </row>
    <row r="10" spans="1:8">
      <c r="A10" s="111" t="s">
        <v>4048</v>
      </c>
      <c r="B10" s="111"/>
      <c r="C10" s="111"/>
      <c r="D10" s="111"/>
      <c r="E10" s="111"/>
      <c r="F10" s="112" t="s">
        <v>1162</v>
      </c>
      <c r="G10" s="489" t="s">
        <v>6557</v>
      </c>
      <c r="H10" s="111"/>
    </row>
    <row r="11" spans="1:8">
      <c r="A11" s="111" t="s">
        <v>4049</v>
      </c>
      <c r="B11" s="111"/>
      <c r="C11" s="111"/>
      <c r="D11" s="111"/>
      <c r="E11" s="111"/>
      <c r="F11" s="112" t="s">
        <v>1163</v>
      </c>
      <c r="G11" s="489" t="s">
        <v>1094</v>
      </c>
      <c r="H11" s="111"/>
    </row>
    <row r="12" spans="1:8">
      <c r="A12" s="111" t="s">
        <v>1149</v>
      </c>
      <c r="B12" s="111"/>
      <c r="C12" s="111"/>
      <c r="D12" s="111"/>
      <c r="E12" s="111"/>
      <c r="F12" s="112" t="s">
        <v>1135</v>
      </c>
      <c r="G12" s="489" t="s">
        <v>6564</v>
      </c>
      <c r="H12" s="111"/>
    </row>
    <row r="13" spans="1:8">
      <c r="A13" s="111" t="s">
        <v>4050</v>
      </c>
      <c r="B13" s="111"/>
      <c r="C13" s="111"/>
      <c r="D13" s="111"/>
      <c r="E13" s="111"/>
      <c r="F13" s="111"/>
      <c r="G13" s="488" t="s">
        <v>5914</v>
      </c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451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</row>
    <row r="18" spans="1:9">
      <c r="A18" s="116"/>
      <c r="B18" s="116"/>
      <c r="C18" s="116"/>
      <c r="D18" s="168" t="s">
        <v>4051</v>
      </c>
      <c r="E18" s="168"/>
      <c r="F18" s="111"/>
      <c r="G18" s="111"/>
      <c r="H18" s="111"/>
    </row>
    <row r="19" spans="1:9">
      <c r="A19" s="116"/>
      <c r="B19" s="116"/>
      <c r="C19" s="116"/>
      <c r="D19" s="120"/>
      <c r="E19" s="120"/>
      <c r="F19" s="111"/>
      <c r="G19" s="111"/>
      <c r="I19" s="111"/>
    </row>
    <row r="20" spans="1:9">
      <c r="A20" s="485" t="s">
        <v>6565</v>
      </c>
      <c r="B20" s="485" t="s">
        <v>6566</v>
      </c>
      <c r="C20" s="116"/>
      <c r="D20" s="111" t="s">
        <v>6567</v>
      </c>
      <c r="E20" s="111"/>
      <c r="H20" s="111">
        <f>85*10</f>
        <v>850</v>
      </c>
      <c r="I20" s="111"/>
    </row>
    <row r="21" spans="1:9">
      <c r="A21" s="116"/>
      <c r="B21" s="116"/>
      <c r="C21" s="116"/>
      <c r="F21" s="111"/>
      <c r="G21" s="111"/>
      <c r="H21" s="111"/>
      <c r="I21" s="111"/>
    </row>
    <row r="22" spans="1:9">
      <c r="D22" s="111"/>
      <c r="E22" s="111"/>
      <c r="H22" s="111"/>
      <c r="I22" s="111"/>
    </row>
    <row r="23" spans="1:9">
      <c r="I23" s="111"/>
    </row>
    <row r="24" spans="1:9">
      <c r="A24" s="116"/>
      <c r="B24" s="116"/>
      <c r="C24" s="116"/>
      <c r="D24" s="120"/>
      <c r="E24" s="120"/>
      <c r="F24" s="111"/>
      <c r="G24" s="111"/>
      <c r="H24" s="111"/>
      <c r="I24" s="111"/>
    </row>
    <row r="25" spans="1:9">
      <c r="A25" s="116"/>
      <c r="B25" s="116"/>
      <c r="C25" s="116"/>
      <c r="D25" s="120"/>
      <c r="E25" s="120"/>
      <c r="F25" s="111"/>
      <c r="G25" s="111"/>
      <c r="I25" s="111"/>
    </row>
    <row r="26" spans="1:9">
      <c r="A26" s="116"/>
      <c r="B26" s="120"/>
      <c r="C26" s="120"/>
      <c r="D26" s="111"/>
      <c r="E26" s="111"/>
      <c r="I26" s="111"/>
    </row>
    <row r="27" spans="1:9">
      <c r="A27" s="116"/>
      <c r="B27" s="120"/>
      <c r="C27" s="120"/>
      <c r="D27" s="111"/>
      <c r="E27" s="111"/>
      <c r="F27" s="111"/>
      <c r="G27" s="111"/>
      <c r="H27" s="111"/>
      <c r="I27" s="111"/>
    </row>
    <row r="28" spans="1:9">
      <c r="D28" s="111"/>
      <c r="E28" s="111"/>
      <c r="H28" s="111"/>
      <c r="I28" s="111"/>
    </row>
    <row r="29" spans="1:9">
      <c r="I29" s="111"/>
    </row>
    <row r="30" spans="1:9">
      <c r="A30" s="116"/>
      <c r="B30" s="120"/>
      <c r="C30" s="120"/>
      <c r="D30" s="111"/>
      <c r="E30" s="111"/>
      <c r="F30" s="111"/>
      <c r="G30" s="111"/>
      <c r="H30" s="111"/>
      <c r="I30" s="111"/>
    </row>
    <row r="31" spans="1:9">
      <c r="D31" s="111"/>
      <c r="E31" s="111"/>
      <c r="H31" s="111"/>
      <c r="I31" s="111"/>
    </row>
    <row r="32" spans="1:9">
      <c r="A32" s="111"/>
      <c r="B32" s="111"/>
      <c r="C32" s="111"/>
      <c r="D32" s="111"/>
      <c r="E32" s="111"/>
      <c r="F32" s="111"/>
      <c r="G32" s="111"/>
      <c r="I32" s="111"/>
    </row>
    <row r="33" spans="1:9" ht="13.5" thickBot="1">
      <c r="A33" s="111"/>
      <c r="B33" s="111"/>
      <c r="C33" s="111"/>
      <c r="D33" s="111"/>
      <c r="E33" s="111"/>
      <c r="F33" s="111"/>
      <c r="G33" s="111"/>
      <c r="H33" s="117">
        <f>SUM(H18:H32)</f>
        <v>850</v>
      </c>
      <c r="I33" s="111"/>
    </row>
    <row r="34" spans="1:9" ht="13.5" thickTop="1">
      <c r="A34" s="111"/>
      <c r="B34" s="111"/>
      <c r="C34" s="111"/>
      <c r="D34" s="111"/>
      <c r="E34" s="111"/>
      <c r="F34" s="111"/>
      <c r="G34" s="111"/>
      <c r="H34" s="111"/>
      <c r="I34" s="111"/>
    </row>
    <row r="35" spans="1:9" ht="20.100000000000001" customHeight="1">
      <c r="A35" s="118" t="s">
        <v>1133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Eight Hundred Fifty and NO/100 -----------</v>
      </c>
      <c r="C35" s="202"/>
      <c r="D35" s="119"/>
      <c r="E35" s="119"/>
      <c r="F35" s="119"/>
      <c r="G35" s="119"/>
      <c r="H35" s="119"/>
      <c r="I35" s="111"/>
    </row>
    <row r="36" spans="1:9">
      <c r="A36" s="120" t="s">
        <v>11</v>
      </c>
      <c r="B36" s="111"/>
      <c r="C36" s="111"/>
      <c r="D36" s="111"/>
      <c r="E36" s="111"/>
      <c r="F36" s="111"/>
      <c r="G36" s="111"/>
      <c r="H36" s="111"/>
    </row>
    <row r="37" spans="1:9" ht="25.5">
      <c r="A37" s="111" t="s">
        <v>10</v>
      </c>
      <c r="B37" s="111"/>
      <c r="C37" s="111"/>
      <c r="D37" s="111"/>
      <c r="E37" s="111"/>
      <c r="F37" s="265" t="s">
        <v>2894</v>
      </c>
      <c r="G37" s="266"/>
      <c r="H37" s="267"/>
    </row>
    <row r="38" spans="1:9">
      <c r="A38" s="111"/>
      <c r="B38" s="111"/>
      <c r="C38" s="111"/>
      <c r="D38" s="111"/>
      <c r="E38" s="111"/>
      <c r="F38" s="111"/>
      <c r="G38" s="111"/>
      <c r="H38" s="111"/>
    </row>
    <row r="39" spans="1:9">
      <c r="A39" s="126"/>
      <c r="B39" s="111"/>
      <c r="C39" s="111"/>
      <c r="D39" s="111"/>
      <c r="E39" s="111"/>
    </row>
    <row r="40" spans="1:9">
      <c r="A40" s="111"/>
      <c r="B40" s="111"/>
      <c r="C40" s="111"/>
      <c r="D40" s="121"/>
      <c r="E40" s="121"/>
      <c r="F40" s="111"/>
      <c r="G40" s="111"/>
      <c r="H40" s="111"/>
    </row>
    <row r="41" spans="1:9">
      <c r="A41" s="122"/>
      <c r="B41" s="122"/>
      <c r="C41" s="433"/>
      <c r="D41" s="111"/>
      <c r="E41" s="111"/>
      <c r="F41" s="111"/>
      <c r="G41" s="111"/>
      <c r="H41" s="111"/>
    </row>
    <row r="42" spans="1:9">
      <c r="B42" s="111"/>
      <c r="C42" s="111"/>
      <c r="D42" s="111"/>
      <c r="E42" s="111"/>
      <c r="F42" s="111"/>
      <c r="G42" s="111"/>
      <c r="H42" s="111"/>
    </row>
    <row r="43" spans="1:9">
      <c r="A43" s="123" t="s">
        <v>8</v>
      </c>
      <c r="D43" s="123" t="s">
        <v>8</v>
      </c>
      <c r="E43" s="111"/>
      <c r="F43" s="123" t="s">
        <v>7</v>
      </c>
      <c r="G43" s="111"/>
      <c r="H43" s="124"/>
    </row>
    <row r="44" spans="1:9">
      <c r="A44" s="111"/>
      <c r="B44" s="111"/>
      <c r="C44" s="111"/>
      <c r="D44" s="111"/>
      <c r="E44" s="111"/>
      <c r="F44" s="111"/>
      <c r="G44" s="111"/>
      <c r="H44" s="111"/>
    </row>
    <row r="45" spans="1:9">
      <c r="A45" s="111"/>
      <c r="B45" s="111"/>
      <c r="C45" s="111"/>
      <c r="D45" s="111"/>
      <c r="E45" s="111"/>
      <c r="F45" s="111"/>
      <c r="G45" s="111"/>
      <c r="H45" s="111"/>
    </row>
    <row r="46" spans="1:9">
      <c r="A46" s="111"/>
      <c r="B46" s="111"/>
      <c r="C46" s="111"/>
      <c r="D46" s="111"/>
      <c r="E46" s="111"/>
      <c r="F46" s="111"/>
      <c r="G46" s="111"/>
      <c r="H46" s="111"/>
    </row>
    <row r="47" spans="1:9">
      <c r="A47" s="122"/>
      <c r="B47" s="122"/>
      <c r="C47" s="433"/>
      <c r="D47" s="122"/>
      <c r="E47" s="111"/>
      <c r="F47" s="122"/>
      <c r="G47" s="122"/>
      <c r="H47" s="122"/>
    </row>
    <row r="48" spans="1:9" s="3" customFormat="1" ht="17.100000000000001" customHeight="1">
      <c r="A48" s="151" t="s">
        <v>2948</v>
      </c>
      <c r="B48" s="125"/>
      <c r="C48" s="125"/>
      <c r="D48" s="151" t="s">
        <v>103</v>
      </c>
      <c r="E48" s="126"/>
      <c r="F48" s="126" t="s">
        <v>3</v>
      </c>
      <c r="G48" s="126"/>
      <c r="H48" s="126"/>
    </row>
    <row r="49" spans="1:8">
      <c r="A49" s="111"/>
      <c r="B49" s="111"/>
      <c r="C49" s="111"/>
      <c r="D49" s="111"/>
      <c r="E49" s="111"/>
      <c r="F49" s="111" t="s">
        <v>2</v>
      </c>
      <c r="G49" s="111"/>
      <c r="H49" s="111"/>
    </row>
    <row r="50" spans="1:8">
      <c r="A50" s="151"/>
      <c r="B50" s="111"/>
      <c r="C50" s="111"/>
      <c r="D50" s="111"/>
      <c r="E50" s="111"/>
      <c r="F50" s="111"/>
      <c r="G50" s="111"/>
      <c r="H50" s="111"/>
    </row>
    <row r="51" spans="1:8">
      <c r="A51" s="111"/>
      <c r="B51" s="111"/>
      <c r="C51" s="111"/>
      <c r="D51" s="111"/>
      <c r="E51" s="111"/>
      <c r="F51" s="2" t="s">
        <v>1</v>
      </c>
      <c r="G51" s="111"/>
      <c r="H51" s="111"/>
    </row>
    <row r="52" spans="1:8">
      <c r="A52" s="111"/>
      <c r="B52" s="111"/>
      <c r="C52" s="111"/>
      <c r="D52" s="111"/>
      <c r="E52" s="111"/>
      <c r="F52" s="2" t="s">
        <v>0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1-000000000000}">
  <sheetPr codeName="Sheet453">
    <pageSetUpPr fitToPage="1"/>
  </sheetPr>
  <dimension ref="A1:G56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31" t="s">
        <v>4113</v>
      </c>
      <c r="F9" s="111"/>
    </row>
    <row r="10" spans="1:6">
      <c r="A10" s="111" t="s">
        <v>4115</v>
      </c>
      <c r="B10" s="111"/>
      <c r="C10" s="111"/>
      <c r="D10" s="112" t="s">
        <v>1162</v>
      </c>
      <c r="E10" s="143" t="s">
        <v>4093</v>
      </c>
      <c r="F10" s="111"/>
    </row>
    <row r="11" spans="1:6">
      <c r="A11" s="111" t="s">
        <v>4116</v>
      </c>
      <c r="B11" s="111"/>
      <c r="C11" s="111"/>
      <c r="D11" s="112" t="s">
        <v>1163</v>
      </c>
      <c r="E11" s="132" t="s">
        <v>1094</v>
      </c>
      <c r="F11" s="111"/>
    </row>
    <row r="12" spans="1:6">
      <c r="A12" s="111" t="s">
        <v>4117</v>
      </c>
      <c r="B12" s="111"/>
      <c r="C12" s="111"/>
      <c r="D12" s="112" t="s">
        <v>1135</v>
      </c>
      <c r="E12" s="140" t="s">
        <v>4114</v>
      </c>
      <c r="F12" s="111"/>
    </row>
    <row r="13" spans="1:6">
      <c r="A13" s="111" t="s">
        <v>4118</v>
      </c>
      <c r="B13" s="111"/>
      <c r="C13" s="111"/>
      <c r="D13" s="111"/>
      <c r="E13" s="111"/>
      <c r="F13" s="111"/>
    </row>
    <row r="14" spans="1:6">
      <c r="A14" s="111" t="s">
        <v>3194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6" t="s">
        <v>4119</v>
      </c>
      <c r="B18" s="116" t="s">
        <v>4120</v>
      </c>
      <c r="C18" s="120" t="s">
        <v>4121</v>
      </c>
      <c r="D18" s="111"/>
      <c r="E18" s="111"/>
      <c r="F18" s="111">
        <v>1200</v>
      </c>
    </row>
    <row r="19" spans="1:7">
      <c r="A19" s="116"/>
      <c r="B19" s="116"/>
      <c r="C19" s="111"/>
      <c r="D19" s="111"/>
      <c r="E19" s="111"/>
      <c r="F19" s="111"/>
      <c r="G19" s="111"/>
    </row>
    <row r="20" spans="1:7">
      <c r="A20" s="116"/>
      <c r="B20" s="120"/>
      <c r="C20" s="111"/>
      <c r="F20" s="111"/>
      <c r="G20" s="111"/>
    </row>
    <row r="21" spans="1:7">
      <c r="A21" s="116"/>
      <c r="B21" s="116"/>
      <c r="C21" s="120"/>
      <c r="D21" s="111"/>
      <c r="E21" s="111"/>
      <c r="F21" s="111"/>
      <c r="G21" s="111"/>
    </row>
    <row r="22" spans="1:7">
      <c r="A22" s="116"/>
      <c r="B22" s="116"/>
      <c r="C22" s="120"/>
      <c r="D22" s="111"/>
      <c r="E22" s="111"/>
      <c r="F22" s="111"/>
      <c r="G22" s="111"/>
    </row>
    <row r="23" spans="1:7">
      <c r="G23" s="111"/>
    </row>
    <row r="24" spans="1:7">
      <c r="A24" s="116"/>
      <c r="B24" s="116"/>
      <c r="C24" s="120"/>
      <c r="D24" s="111"/>
      <c r="E24" s="111"/>
      <c r="F24" s="111"/>
      <c r="G24" s="111"/>
    </row>
    <row r="25" spans="1:7">
      <c r="A25" s="116"/>
      <c r="B25" s="116"/>
      <c r="C25" s="111"/>
      <c r="D25" s="111"/>
      <c r="E25" s="111"/>
      <c r="F25" s="111"/>
      <c r="G25" s="111"/>
    </row>
    <row r="26" spans="1:7">
      <c r="A26" s="116"/>
      <c r="B26" s="120"/>
      <c r="C26" s="111"/>
      <c r="D26" s="111"/>
      <c r="E26" s="111"/>
      <c r="F26" s="111"/>
      <c r="G26" s="111"/>
    </row>
    <row r="27" spans="1:7">
      <c r="A27" s="116"/>
      <c r="B27" s="120"/>
      <c r="C27" s="111"/>
      <c r="D27" s="111"/>
      <c r="E27" s="111"/>
      <c r="F27" s="111"/>
      <c r="G27" s="111"/>
    </row>
    <row r="28" spans="1:7">
      <c r="A28" s="116"/>
      <c r="B28" s="120"/>
      <c r="C28" s="111"/>
      <c r="D28" s="111"/>
      <c r="E28" s="111"/>
      <c r="F28" s="111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6"/>
      <c r="B32" s="120"/>
      <c r="C32" s="111"/>
      <c r="D32" s="111"/>
      <c r="E32" s="111"/>
      <c r="F32" s="111"/>
      <c r="G32" s="111"/>
    </row>
    <row r="33" spans="1:7">
      <c r="A33" s="116"/>
      <c r="B33" s="120"/>
      <c r="C33" s="111"/>
      <c r="D33" s="111"/>
      <c r="E33" s="111"/>
      <c r="F33" s="111"/>
      <c r="G33" s="111"/>
    </row>
    <row r="34" spans="1:7">
      <c r="A34" s="111"/>
      <c r="B34" s="111"/>
      <c r="C34" s="111"/>
      <c r="D34" s="111"/>
      <c r="E34" s="111"/>
      <c r="G34" s="111"/>
    </row>
    <row r="35" spans="1:7" ht="13.5" thickBot="1">
      <c r="A35" s="111"/>
      <c r="B35" s="111"/>
      <c r="C35" s="111"/>
      <c r="D35" s="111"/>
      <c r="E35" s="111"/>
      <c r="F35" s="117">
        <f>SUM(F18:F34)</f>
        <v>1200</v>
      </c>
      <c r="G35" s="111"/>
    </row>
    <row r="36" spans="1:7" ht="13.5" thickTop="1">
      <c r="A36" s="111"/>
      <c r="B36" s="111"/>
      <c r="C36" s="111"/>
      <c r="D36" s="111"/>
      <c r="E36" s="111"/>
      <c r="F36" s="111"/>
      <c r="G36" s="111"/>
    </row>
    <row r="37" spans="1:7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Two Hundred and NO/100 -----------</v>
      </c>
      <c r="C37" s="119"/>
      <c r="D37" s="119"/>
      <c r="E37" s="119"/>
      <c r="F37" s="119"/>
      <c r="G37" s="111"/>
    </row>
    <row r="38" spans="1:7">
      <c r="A38" s="120" t="s">
        <v>11</v>
      </c>
      <c r="B38" s="111"/>
      <c r="C38" s="111"/>
      <c r="D38" s="111"/>
      <c r="E38" s="111"/>
      <c r="F38" s="111"/>
    </row>
    <row r="39" spans="1:7" ht="25.5">
      <c r="A39" s="111" t="s">
        <v>10</v>
      </c>
      <c r="B39" s="111"/>
      <c r="C39" s="111"/>
      <c r="D39" s="265" t="s">
        <v>2894</v>
      </c>
      <c r="E39" s="266"/>
      <c r="F39" s="267"/>
    </row>
    <row r="40" spans="1:7">
      <c r="A40" s="111"/>
      <c r="B40" s="111"/>
      <c r="C40" s="111"/>
      <c r="D40" s="111"/>
      <c r="E40" s="111"/>
      <c r="F40" s="111"/>
    </row>
    <row r="41" spans="1:7">
      <c r="A41" s="126"/>
      <c r="B41" s="111"/>
      <c r="C41" s="111"/>
    </row>
    <row r="42" spans="1:7">
      <c r="A42" s="111"/>
      <c r="B42" s="111"/>
      <c r="C42" s="121"/>
      <c r="D42" s="111"/>
      <c r="E42" s="111"/>
      <c r="F42" s="111"/>
    </row>
    <row r="43" spans="1:7">
      <c r="A43" s="122"/>
      <c r="B43" s="122"/>
      <c r="C43" s="111"/>
      <c r="D43" s="111"/>
      <c r="E43" s="111"/>
      <c r="F43" s="111"/>
    </row>
    <row r="44" spans="1:7">
      <c r="B44" s="111"/>
      <c r="C44" s="111"/>
      <c r="D44" s="111"/>
      <c r="E44" s="111"/>
      <c r="F44" s="111"/>
    </row>
    <row r="45" spans="1:7">
      <c r="A45" s="123" t="s">
        <v>8</v>
      </c>
      <c r="C45" s="111"/>
      <c r="D45" s="123" t="s">
        <v>7</v>
      </c>
      <c r="E45" s="111"/>
      <c r="F45" s="124"/>
    </row>
    <row r="46" spans="1:7">
      <c r="A46" s="111"/>
      <c r="B46" s="111"/>
      <c r="C46" s="111"/>
      <c r="D46" s="111"/>
      <c r="E46" s="111"/>
      <c r="F46" s="111"/>
    </row>
    <row r="47" spans="1:7">
      <c r="A47" s="111"/>
      <c r="B47" s="111"/>
      <c r="C47" s="111"/>
      <c r="D47" s="111"/>
      <c r="E47" s="111"/>
      <c r="F47" s="111"/>
    </row>
    <row r="48" spans="1:7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1-000000000000}">
  <sheetPr codeName="Sheet304">
    <pageSetUpPr fitToPage="1"/>
  </sheetPr>
  <dimension ref="A1:F52"/>
  <sheetViews>
    <sheetView topLeftCell="A16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2499</v>
      </c>
    </row>
    <row r="10" spans="1:6">
      <c r="A10" s="111" t="s">
        <v>2501</v>
      </c>
      <c r="D10" s="112" t="s">
        <v>1180</v>
      </c>
      <c r="E10" s="123" t="s">
        <v>2472</v>
      </c>
    </row>
    <row r="11" spans="1:6">
      <c r="A11" s="111" t="s">
        <v>2502</v>
      </c>
      <c r="D11" s="112" t="s">
        <v>1181</v>
      </c>
      <c r="E11" s="112" t="s">
        <v>1094</v>
      </c>
    </row>
    <row r="12" spans="1:6">
      <c r="A12" s="111" t="s">
        <v>2503</v>
      </c>
      <c r="D12" s="112" t="s">
        <v>1182</v>
      </c>
      <c r="E12" s="120" t="s">
        <v>2500</v>
      </c>
    </row>
    <row r="13" spans="1:6">
      <c r="A13" s="111" t="s">
        <v>2504</v>
      </c>
    </row>
    <row r="14" spans="1:6">
      <c r="A14" s="111" t="s">
        <v>2505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16" t="s">
        <v>2506</v>
      </c>
      <c r="B18" s="116" t="s">
        <v>2507</v>
      </c>
      <c r="C18" s="111" t="s">
        <v>2508</v>
      </c>
      <c r="F18" s="111">
        <f>180*2</f>
        <v>360</v>
      </c>
    </row>
    <row r="19" spans="1:6">
      <c r="C19" s="111" t="s">
        <v>2509</v>
      </c>
    </row>
    <row r="20" spans="1:6">
      <c r="A20" s="116"/>
      <c r="B20" s="121"/>
    </row>
    <row r="22" spans="1:6">
      <c r="C22" s="2"/>
    </row>
    <row r="23" spans="1:6">
      <c r="A23" s="148"/>
      <c r="C23" s="120"/>
    </row>
    <row r="24" spans="1:6">
      <c r="A24" s="116"/>
      <c r="B24" s="251"/>
      <c r="F24" s="149"/>
    </row>
    <row r="27" spans="1:6">
      <c r="A27" s="120"/>
    </row>
    <row r="28" spans="1:6">
      <c r="C28" s="2"/>
      <c r="F28" s="149"/>
    </row>
    <row r="29" spans="1:6">
      <c r="A29" s="148"/>
      <c r="B29" s="121"/>
      <c r="C29" s="120"/>
    </row>
    <row r="33" spans="1:6" ht="13.5" thickBot="1">
      <c r="F33" s="127">
        <f>SUM(F20:F32)</f>
        <v>0</v>
      </c>
    </row>
    <row r="34" spans="1:6" ht="13.5" thickTop="1"/>
    <row r="35" spans="1:6" ht="20.100000000000001" customHeight="1">
      <c r="A35" s="118" t="s">
        <v>204</v>
      </c>
      <c r="B35" s="202" t="s">
        <v>2264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1-000000000000}">
  <sheetPr codeName="Sheet410">
    <pageSetUpPr fitToPage="1"/>
  </sheetPr>
  <dimension ref="A1:G54"/>
  <sheetViews>
    <sheetView view="pageBreakPreview" topLeftCell="A4" zoomScaleNormal="100" zoomScaleSheetLayoutView="100" workbookViewId="0">
      <selection activeCell="G9" sqref="G9:G13"/>
    </sheetView>
  </sheetViews>
  <sheetFormatPr defaultRowHeight="12.75"/>
  <cols>
    <col min="1" max="1" width="16" style="131" customWidth="1"/>
    <col min="2" max="2" width="14.140625" style="131" customWidth="1"/>
    <col min="3" max="3" width="21" style="131" customWidth="1"/>
    <col min="4" max="4" width="16.42578125" style="131" customWidth="1"/>
    <col min="5" max="5" width="8.285156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1123</v>
      </c>
      <c r="E9" s="147" t="s">
        <v>3582</v>
      </c>
    </row>
    <row r="10" spans="1:6">
      <c r="A10" s="131" t="s">
        <v>3584</v>
      </c>
      <c r="D10" s="132" t="s">
        <v>1124</v>
      </c>
      <c r="E10" s="212" t="s">
        <v>3567</v>
      </c>
    </row>
    <row r="11" spans="1:6">
      <c r="A11" s="131" t="s">
        <v>3585</v>
      </c>
      <c r="D11" s="132" t="s">
        <v>1125</v>
      </c>
      <c r="E11" s="212" t="s">
        <v>1094</v>
      </c>
    </row>
    <row r="12" spans="1:6">
      <c r="A12" s="131" t="s">
        <v>3586</v>
      </c>
      <c r="D12" s="132" t="s">
        <v>1096</v>
      </c>
      <c r="E12" s="212" t="s">
        <v>3583</v>
      </c>
    </row>
    <row r="13" spans="1:6">
      <c r="A13" s="131" t="s">
        <v>1354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8" spans="1:7">
      <c r="C18" s="110" t="s">
        <v>3367</v>
      </c>
      <c r="G18" s="250"/>
    </row>
    <row r="20" spans="1:7">
      <c r="A20" s="158" t="s">
        <v>3564</v>
      </c>
      <c r="B20" s="158" t="s">
        <v>3587</v>
      </c>
      <c r="C20" s="131" t="s">
        <v>3588</v>
      </c>
      <c r="F20" s="131">
        <v>75000</v>
      </c>
    </row>
    <row r="21" spans="1:7">
      <c r="A21" s="158"/>
      <c r="B21" s="158"/>
    </row>
    <row r="23" spans="1:7">
      <c r="A23" s="158"/>
      <c r="B23" s="158"/>
    </row>
    <row r="24" spans="1:7">
      <c r="B24" s="158"/>
    </row>
    <row r="25" spans="1:7">
      <c r="A25" s="158"/>
      <c r="B25" s="158"/>
    </row>
    <row r="26" spans="1:7">
      <c r="A26" s="158"/>
      <c r="B26" s="158"/>
    </row>
    <row r="27" spans="1:7">
      <c r="A27" s="158"/>
      <c r="B27" s="141"/>
    </row>
    <row r="35" spans="1:6" ht="13.5" thickBot="1">
      <c r="F35" s="137">
        <f>SUM(F18:F34)</f>
        <v>75000</v>
      </c>
    </row>
    <row r="36" spans="1:6" ht="13.5" thickTop="1"/>
    <row r="37" spans="1:6" ht="21.75" customHeight="1">
      <c r="A37" s="138" t="s">
        <v>1133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Seventy-Five Thousand and NO/100 -----------</v>
      </c>
      <c r="C37" s="139"/>
      <c r="D37" s="282"/>
      <c r="E37" s="282"/>
      <c r="F37" s="139"/>
    </row>
    <row r="38" spans="1:6" ht="20.100000000000001" customHeight="1">
      <c r="A38" s="212"/>
      <c r="B38" s="145"/>
      <c r="C38" s="147"/>
      <c r="D38" s="282"/>
      <c r="E38" s="282"/>
      <c r="F38" s="147"/>
    </row>
    <row r="39" spans="1:6" ht="25.5">
      <c r="A39" s="140" t="s">
        <v>3060</v>
      </c>
      <c r="D39" s="283" t="s">
        <v>2894</v>
      </c>
      <c r="E39" s="284"/>
      <c r="F39" s="285"/>
    </row>
    <row r="40" spans="1:6">
      <c r="D40" s="286"/>
      <c r="E40" s="287"/>
      <c r="F40" s="287"/>
    </row>
    <row r="41" spans="1:6">
      <c r="C41" s="141"/>
    </row>
    <row r="42" spans="1:6">
      <c r="C42" s="141"/>
    </row>
    <row r="43" spans="1:6">
      <c r="A43" s="142"/>
      <c r="B43" s="142"/>
    </row>
    <row r="45" spans="1:6">
      <c r="A45" s="143" t="s">
        <v>8</v>
      </c>
      <c r="D45" s="143" t="s">
        <v>7</v>
      </c>
      <c r="F45" s="144"/>
    </row>
    <row r="49" spans="1:6">
      <c r="A49" s="142"/>
      <c r="B49" s="142"/>
      <c r="D49" s="142"/>
      <c r="E49" s="142"/>
      <c r="F49" s="142"/>
    </row>
    <row r="50" spans="1:6" s="147" customFormat="1" ht="17.100000000000001" customHeight="1">
      <c r="A50" s="145" t="s">
        <v>2948</v>
      </c>
      <c r="B50" s="146"/>
      <c r="D50" s="147" t="s">
        <v>3</v>
      </c>
    </row>
    <row r="51" spans="1:6">
      <c r="D51" s="131" t="s">
        <v>2</v>
      </c>
    </row>
    <row r="53" spans="1:6">
      <c r="D53" s="110" t="s">
        <v>1</v>
      </c>
    </row>
    <row r="54" spans="1:6">
      <c r="D54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5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1-000000000000}">
  <sheetPr codeName="Sheet454">
    <pageSetUpPr fitToPage="1"/>
  </sheetPr>
  <dimension ref="A1:J55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.42578125" style="1" customWidth="1"/>
    <col min="4" max="4" width="23" style="1" customWidth="1"/>
    <col min="5" max="5" width="1.570312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11" t="s">
        <v>4439</v>
      </c>
      <c r="H9" s="111"/>
    </row>
    <row r="10" spans="1:8">
      <c r="A10" s="111" t="s">
        <v>4044</v>
      </c>
      <c r="B10" s="111"/>
      <c r="C10" s="111"/>
      <c r="D10" s="111"/>
      <c r="E10" s="111"/>
      <c r="F10" s="112" t="s">
        <v>1162</v>
      </c>
      <c r="G10" s="123" t="s">
        <v>4438</v>
      </c>
      <c r="H10" s="111"/>
    </row>
    <row r="11" spans="1:8">
      <c r="A11" s="111" t="s">
        <v>4045</v>
      </c>
      <c r="B11" s="111"/>
      <c r="C11" s="111"/>
      <c r="D11" s="111"/>
      <c r="E11" s="111"/>
      <c r="F11" s="112" t="s">
        <v>1163</v>
      </c>
      <c r="G11" s="112" t="s">
        <v>1094</v>
      </c>
      <c r="H11" s="111"/>
    </row>
    <row r="12" spans="1:8">
      <c r="A12" s="111" t="s">
        <v>4046</v>
      </c>
      <c r="B12" s="111"/>
      <c r="C12" s="111"/>
      <c r="D12" s="111"/>
      <c r="E12" s="111"/>
      <c r="F12" s="112" t="s">
        <v>1135</v>
      </c>
      <c r="G12" s="112"/>
      <c r="H12" s="111"/>
    </row>
    <row r="13" spans="1:8">
      <c r="A13" s="111" t="s">
        <v>1588</v>
      </c>
      <c r="B13" s="111"/>
      <c r="C13" s="111"/>
      <c r="D13" s="111"/>
      <c r="E13" s="111"/>
      <c r="F13" s="111"/>
      <c r="G13" s="11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10">
      <c r="A17" s="111"/>
      <c r="B17" s="111"/>
      <c r="C17" s="111"/>
      <c r="D17" s="111"/>
      <c r="E17" s="111"/>
      <c r="F17" s="111"/>
      <c r="G17" s="111"/>
      <c r="H17" s="111"/>
    </row>
    <row r="18" spans="1:10">
      <c r="A18" s="111"/>
      <c r="B18" s="111"/>
      <c r="C18" s="111"/>
      <c r="D18" s="2" t="s">
        <v>3628</v>
      </c>
      <c r="E18" s="2"/>
      <c r="F18" s="111"/>
      <c r="G18" s="111"/>
      <c r="H18" s="111"/>
    </row>
    <row r="19" spans="1:10">
      <c r="A19" s="112"/>
      <c r="B19" s="116"/>
      <c r="C19" s="116"/>
      <c r="D19" s="2"/>
      <c r="E19" s="2"/>
      <c r="F19" s="111"/>
      <c r="G19" s="111"/>
      <c r="H19" s="111"/>
      <c r="I19" s="111"/>
    </row>
    <row r="20" spans="1:10">
      <c r="A20" s="116" t="s">
        <v>4440</v>
      </c>
      <c r="B20" s="116" t="s">
        <v>4441</v>
      </c>
      <c r="C20" s="116"/>
      <c r="D20" s="111" t="s">
        <v>4442</v>
      </c>
      <c r="E20" s="111"/>
      <c r="F20" s="111"/>
      <c r="G20" s="111"/>
      <c r="H20" s="111">
        <f>14.15*21</f>
        <v>297.15000000000003</v>
      </c>
      <c r="I20" s="111"/>
    </row>
    <row r="21" spans="1:10">
      <c r="A21" s="116"/>
      <c r="B21" s="120"/>
      <c r="C21" s="120"/>
      <c r="D21" s="111" t="s">
        <v>4443</v>
      </c>
      <c r="E21" s="111"/>
      <c r="H21" s="111">
        <f>14.15*19</f>
        <v>268.85000000000002</v>
      </c>
      <c r="I21" s="111"/>
    </row>
    <row r="22" spans="1:10">
      <c r="A22" s="116"/>
      <c r="B22" s="120"/>
      <c r="C22" s="120"/>
      <c r="D22" s="111" t="s">
        <v>4444</v>
      </c>
      <c r="E22" s="111"/>
      <c r="H22" s="111">
        <f>14.15*21</f>
        <v>297.15000000000003</v>
      </c>
      <c r="I22" s="111"/>
    </row>
    <row r="23" spans="1:10">
      <c r="A23" s="116"/>
      <c r="B23" s="120"/>
      <c r="C23" s="120"/>
      <c r="D23" s="111" t="s">
        <v>4445</v>
      </c>
      <c r="E23" s="111"/>
      <c r="H23" s="111">
        <f>14.15*17</f>
        <v>240.55</v>
      </c>
      <c r="I23" s="111"/>
    </row>
    <row r="24" spans="1:10">
      <c r="A24" s="116"/>
      <c r="B24" s="120"/>
      <c r="C24" s="120"/>
      <c r="D24" s="111" t="s">
        <v>4446</v>
      </c>
      <c r="E24" s="111"/>
      <c r="H24" s="111">
        <f>14.15*16</f>
        <v>226.4</v>
      </c>
      <c r="I24" s="111"/>
      <c r="J24" s="111"/>
    </row>
    <row r="25" spans="1:10">
      <c r="A25" s="116"/>
      <c r="B25" s="120"/>
      <c r="C25" s="120"/>
      <c r="D25" s="111" t="s">
        <v>4448</v>
      </c>
      <c r="E25" s="111"/>
      <c r="H25" s="111">
        <f>14.15*34</f>
        <v>481.1</v>
      </c>
      <c r="I25" s="111"/>
      <c r="J25" s="111"/>
    </row>
    <row r="26" spans="1:10">
      <c r="A26" s="116"/>
      <c r="B26" s="120"/>
      <c r="C26" s="120"/>
      <c r="D26" s="111" t="s">
        <v>4447</v>
      </c>
      <c r="E26" s="111"/>
      <c r="H26" s="111">
        <f>14.15*15</f>
        <v>212.25</v>
      </c>
      <c r="I26" s="111"/>
      <c r="J26" s="111"/>
    </row>
    <row r="27" spans="1:10">
      <c r="A27" s="116"/>
      <c r="B27" s="120"/>
      <c r="C27" s="120"/>
      <c r="D27" s="111" t="s">
        <v>4449</v>
      </c>
      <c r="E27" s="111"/>
      <c r="H27" s="111">
        <f>14.15*33</f>
        <v>466.95</v>
      </c>
      <c r="I27" s="111"/>
      <c r="J27" s="111"/>
    </row>
    <row r="28" spans="1:10">
      <c r="A28" s="116"/>
      <c r="B28" s="120"/>
      <c r="C28" s="120"/>
      <c r="D28" s="111" t="s">
        <v>4450</v>
      </c>
      <c r="E28" s="111"/>
      <c r="H28" s="111">
        <f>14.15*19</f>
        <v>268.85000000000002</v>
      </c>
      <c r="I28" s="111"/>
      <c r="J28" s="111"/>
    </row>
    <row r="29" spans="1:10">
      <c r="A29" s="116"/>
      <c r="B29" s="120"/>
      <c r="C29" s="120"/>
      <c r="D29" s="111" t="s">
        <v>4451</v>
      </c>
      <c r="E29" s="111"/>
      <c r="H29" s="111">
        <f>14.15*16</f>
        <v>226.4</v>
      </c>
      <c r="I29" s="111"/>
      <c r="J29" s="111"/>
    </row>
    <row r="30" spans="1:10">
      <c r="A30" s="116"/>
      <c r="B30" s="120"/>
      <c r="C30" s="120"/>
      <c r="D30" s="111"/>
      <c r="E30" s="111"/>
      <c r="H30" s="111"/>
      <c r="J30" s="111"/>
    </row>
    <row r="31" spans="1:10">
      <c r="A31" s="116"/>
      <c r="B31" s="116"/>
      <c r="C31" s="116"/>
      <c r="D31" s="111" t="s">
        <v>1814</v>
      </c>
      <c r="E31" s="111"/>
      <c r="F31" s="111"/>
      <c r="G31" s="111"/>
      <c r="H31" s="111">
        <v>179.35</v>
      </c>
      <c r="I31" s="111"/>
    </row>
    <row r="32" spans="1:10">
      <c r="A32" s="116"/>
      <c r="B32" s="120"/>
      <c r="C32" s="120"/>
      <c r="D32" s="111"/>
      <c r="E32" s="111"/>
      <c r="H32" s="111"/>
      <c r="I32" s="111"/>
    </row>
    <row r="33" spans="1:9">
      <c r="A33" s="111"/>
      <c r="B33" s="111"/>
      <c r="C33" s="111"/>
      <c r="D33" s="111"/>
      <c r="E33" s="111"/>
      <c r="F33" s="111"/>
      <c r="G33" s="111"/>
      <c r="I33" s="111"/>
    </row>
    <row r="34" spans="1:9" ht="13.5" thickBot="1">
      <c r="A34" s="111"/>
      <c r="B34" s="111"/>
      <c r="C34" s="111"/>
      <c r="D34" s="111"/>
      <c r="E34" s="111"/>
      <c r="F34" s="111"/>
      <c r="G34" s="111"/>
      <c r="H34" s="117">
        <f>SUM(H20:H33)</f>
        <v>3165</v>
      </c>
      <c r="I34" s="111"/>
    </row>
    <row r="35" spans="1:9" ht="13.5" thickTop="1">
      <c r="A35" s="111"/>
      <c r="B35" s="111"/>
      <c r="C35" s="111"/>
      <c r="D35" s="111"/>
      <c r="E35" s="111"/>
      <c r="F35" s="111"/>
      <c r="G35" s="111"/>
      <c r="H35" s="111"/>
      <c r="I35" s="111"/>
    </row>
    <row r="36" spans="1:9" ht="20.100000000000001" customHeight="1">
      <c r="A36" s="118" t="s">
        <v>1133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Thousand One Hundred Sixty-Five and NO/100 -----------</v>
      </c>
      <c r="C36" s="202"/>
      <c r="D36" s="119"/>
      <c r="E36" s="119"/>
      <c r="F36" s="119"/>
      <c r="G36" s="119"/>
      <c r="H36" s="119"/>
      <c r="I36" s="111"/>
    </row>
    <row r="37" spans="1:9">
      <c r="A37" s="120" t="s">
        <v>11</v>
      </c>
      <c r="B37" s="111"/>
      <c r="C37" s="111"/>
      <c r="D37" s="111"/>
      <c r="E37" s="111"/>
      <c r="F37" s="111"/>
      <c r="G37" s="111"/>
      <c r="H37" s="111"/>
    </row>
    <row r="38" spans="1:9" ht="25.5">
      <c r="A38" s="272" t="s">
        <v>10</v>
      </c>
      <c r="B38" s="111"/>
      <c r="C38" s="111"/>
      <c r="D38" s="111"/>
      <c r="E38" s="111"/>
      <c r="F38" s="265" t="s">
        <v>2894</v>
      </c>
      <c r="G38" s="266"/>
      <c r="H38" s="267"/>
    </row>
    <row r="39" spans="1:9">
      <c r="A39" s="111"/>
      <c r="B39" s="111"/>
      <c r="C39" s="111"/>
      <c r="D39" s="111"/>
      <c r="E39" s="111"/>
      <c r="F39" s="111"/>
      <c r="G39" s="111"/>
      <c r="H39" s="111"/>
    </row>
    <row r="40" spans="1:9">
      <c r="A40" s="126"/>
      <c r="B40" s="111"/>
      <c r="C40" s="111"/>
      <c r="D40" s="111"/>
      <c r="E40" s="111"/>
    </row>
    <row r="41" spans="1:9">
      <c r="A41" s="111"/>
      <c r="B41" s="111"/>
      <c r="C41" s="111"/>
      <c r="D41" s="121"/>
      <c r="E41" s="121"/>
      <c r="F41" s="111"/>
      <c r="G41" s="111"/>
      <c r="H41" s="111"/>
    </row>
    <row r="42" spans="1:9">
      <c r="A42" s="122"/>
      <c r="B42" s="122"/>
      <c r="C42" s="111"/>
      <c r="D42" s="111"/>
      <c r="E42" s="111"/>
      <c r="F42" s="111"/>
      <c r="G42" s="111"/>
      <c r="H42" s="111"/>
    </row>
    <row r="43" spans="1:9">
      <c r="B43" s="111"/>
      <c r="C43" s="111"/>
      <c r="D43" s="111"/>
      <c r="E43" s="111"/>
      <c r="F43" s="111"/>
      <c r="G43" s="111"/>
      <c r="H43" s="111"/>
    </row>
    <row r="44" spans="1:9">
      <c r="A44" s="123" t="s">
        <v>8</v>
      </c>
      <c r="D44" s="123" t="s">
        <v>8</v>
      </c>
      <c r="E44" s="111"/>
      <c r="F44" s="123" t="s">
        <v>7</v>
      </c>
      <c r="G44" s="111"/>
      <c r="H44" s="124"/>
    </row>
    <row r="45" spans="1:9">
      <c r="A45" s="111"/>
      <c r="B45" s="111"/>
      <c r="C45" s="111"/>
      <c r="D45" s="111"/>
      <c r="E45" s="111"/>
      <c r="F45" s="111"/>
      <c r="G45" s="111"/>
      <c r="H45" s="111"/>
    </row>
    <row r="46" spans="1:9">
      <c r="A46" s="111"/>
      <c r="B46" s="111"/>
      <c r="C46" s="111"/>
      <c r="D46" s="111"/>
      <c r="E46" s="111"/>
      <c r="F46" s="111"/>
      <c r="G46" s="111"/>
      <c r="H46" s="111"/>
    </row>
    <row r="47" spans="1:9">
      <c r="A47" s="111"/>
      <c r="B47" s="111"/>
      <c r="C47" s="111"/>
      <c r="D47" s="111"/>
      <c r="E47" s="111"/>
      <c r="F47" s="111"/>
      <c r="G47" s="111"/>
      <c r="H47" s="111"/>
    </row>
    <row r="48" spans="1:9">
      <c r="A48" s="122"/>
      <c r="B48" s="122"/>
      <c r="C48" s="111"/>
      <c r="D48" s="122"/>
      <c r="E48" s="111"/>
      <c r="F48" s="122"/>
      <c r="G48" s="122"/>
      <c r="H48" s="122"/>
    </row>
    <row r="49" spans="1:8" s="3" customFormat="1" ht="17.100000000000001" customHeight="1">
      <c r="A49" s="151" t="s">
        <v>2948</v>
      </c>
      <c r="B49" s="125"/>
      <c r="C49" s="125"/>
      <c r="D49" s="151" t="s">
        <v>103</v>
      </c>
      <c r="E49" s="126"/>
      <c r="F49" s="126" t="s">
        <v>3</v>
      </c>
      <c r="G49" s="126"/>
      <c r="H49" s="126"/>
    </row>
    <row r="50" spans="1:8">
      <c r="A50" s="111"/>
      <c r="B50" s="111"/>
      <c r="C50" s="111"/>
      <c r="D50" s="111"/>
      <c r="E50" s="111"/>
      <c r="F50" s="111" t="s">
        <v>2</v>
      </c>
      <c r="G50" s="111"/>
      <c r="H50" s="111"/>
    </row>
    <row r="51" spans="1:8">
      <c r="A51" s="151"/>
      <c r="B51" s="111"/>
      <c r="C51" s="111"/>
      <c r="D51" s="111"/>
      <c r="E51" s="111"/>
      <c r="F51" s="111"/>
      <c r="G51" s="111"/>
      <c r="H51" s="111"/>
    </row>
    <row r="52" spans="1:8">
      <c r="A52" s="111"/>
      <c r="B52" s="111"/>
      <c r="C52" s="111"/>
      <c r="D52" s="111"/>
      <c r="E52" s="111"/>
      <c r="F52" s="2" t="s">
        <v>1</v>
      </c>
      <c r="G52" s="111"/>
      <c r="H52" s="111"/>
    </row>
    <row r="53" spans="1:8">
      <c r="A53" s="111"/>
      <c r="B53" s="111"/>
      <c r="C53" s="111"/>
      <c r="D53" s="111"/>
      <c r="E53" s="111"/>
      <c r="F53" s="2" t="s">
        <v>0</v>
      </c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5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1-000000000000}">
  <sheetPr codeName="Sheet384">
    <pageSetUpPr fitToPage="1"/>
  </sheetPr>
  <dimension ref="A1:G56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3158</v>
      </c>
      <c r="F9" s="111"/>
    </row>
    <row r="10" spans="1:6">
      <c r="A10" s="111" t="s">
        <v>3160</v>
      </c>
      <c r="B10" s="111"/>
      <c r="C10" s="111"/>
      <c r="D10" s="112" t="s">
        <v>1162</v>
      </c>
      <c r="E10" s="112" t="s">
        <v>3126</v>
      </c>
      <c r="F10" s="111"/>
    </row>
    <row r="11" spans="1:6">
      <c r="A11" s="111" t="s">
        <v>1328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3161</v>
      </c>
      <c r="B12" s="111"/>
      <c r="C12" s="111"/>
      <c r="D12" s="112" t="s">
        <v>1135</v>
      </c>
      <c r="E12" s="112" t="s">
        <v>3159</v>
      </c>
      <c r="F12" s="111"/>
    </row>
    <row r="13" spans="1:6">
      <c r="A13" s="111" t="s">
        <v>567</v>
      </c>
      <c r="B13" s="111"/>
      <c r="C13" s="111"/>
      <c r="D13" s="111"/>
      <c r="E13" s="13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 t="s">
        <v>3163</v>
      </c>
      <c r="D18" s="111"/>
      <c r="E18" s="111"/>
      <c r="F18" s="111"/>
    </row>
    <row r="19" spans="1:7">
      <c r="C19" s="120"/>
      <c r="D19" s="111"/>
      <c r="E19" s="111"/>
      <c r="F19" s="111"/>
      <c r="G19" s="111"/>
    </row>
    <row r="20" spans="1:7">
      <c r="A20" s="116" t="s">
        <v>3141</v>
      </c>
      <c r="B20" s="116" t="s">
        <v>3162</v>
      </c>
      <c r="C20" s="111" t="s">
        <v>3164</v>
      </c>
      <c r="D20" s="111"/>
      <c r="E20" s="111"/>
      <c r="F20" s="111">
        <v>1155</v>
      </c>
      <c r="G20" s="111"/>
    </row>
    <row r="21" spans="1:7">
      <c r="A21" s="116"/>
      <c r="B21" s="120"/>
      <c r="G21" s="111"/>
    </row>
    <row r="22" spans="1:7">
      <c r="A22" s="116"/>
      <c r="B22" s="116"/>
      <c r="C22" s="120"/>
      <c r="D22" s="111"/>
      <c r="E22" s="111"/>
      <c r="F22" s="111"/>
      <c r="G22" s="111"/>
    </row>
    <row r="23" spans="1:7">
      <c r="A23" s="116"/>
      <c r="B23" s="116"/>
      <c r="C23" s="120"/>
      <c r="D23" s="111"/>
      <c r="E23" s="111"/>
      <c r="F23" s="111"/>
      <c r="G23" s="111"/>
    </row>
    <row r="24" spans="1:7">
      <c r="A24" s="116"/>
      <c r="B24" s="116"/>
      <c r="C24" s="120"/>
      <c r="D24" s="111"/>
      <c r="E24" s="111"/>
      <c r="F24" s="111"/>
      <c r="G24" s="111"/>
    </row>
    <row r="25" spans="1:7">
      <c r="A25" s="116"/>
      <c r="B25" s="116"/>
      <c r="C25" s="111"/>
      <c r="D25" s="111"/>
      <c r="E25" s="111"/>
      <c r="F25" s="111"/>
      <c r="G25" s="111"/>
    </row>
    <row r="26" spans="1:7">
      <c r="A26" s="116"/>
      <c r="B26" s="120"/>
      <c r="C26" s="111"/>
      <c r="D26" s="111"/>
      <c r="E26" s="111"/>
      <c r="F26" s="111"/>
      <c r="G26" s="111"/>
    </row>
    <row r="27" spans="1:7">
      <c r="A27" s="116"/>
      <c r="B27" s="120"/>
      <c r="C27" s="111"/>
      <c r="D27" s="111"/>
      <c r="E27" s="111"/>
      <c r="F27" s="111"/>
      <c r="G27" s="111"/>
    </row>
    <row r="28" spans="1:7">
      <c r="A28" s="116"/>
      <c r="B28" s="120"/>
      <c r="C28" s="111"/>
      <c r="D28" s="111"/>
      <c r="E28" s="111"/>
      <c r="F28" s="111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6"/>
      <c r="B32" s="120"/>
      <c r="C32" s="111"/>
      <c r="D32" s="111"/>
      <c r="E32" s="111"/>
      <c r="F32" s="111"/>
      <c r="G32" s="111"/>
    </row>
    <row r="33" spans="1:7">
      <c r="A33" s="116"/>
      <c r="B33" s="120"/>
      <c r="C33" s="111"/>
      <c r="D33" s="111"/>
      <c r="E33" s="111"/>
      <c r="F33" s="111"/>
      <c r="G33" s="111"/>
    </row>
    <row r="34" spans="1:7">
      <c r="A34" s="111"/>
      <c r="B34" s="111"/>
      <c r="C34" s="111"/>
      <c r="D34" s="111"/>
      <c r="E34" s="111"/>
      <c r="G34" s="111"/>
    </row>
    <row r="35" spans="1:7" ht="13.5" thickBot="1">
      <c r="A35" s="111"/>
      <c r="B35" s="111"/>
      <c r="C35" s="111"/>
      <c r="D35" s="111"/>
      <c r="E35" s="111"/>
      <c r="F35" s="117">
        <f>SUM(F18:F34)</f>
        <v>1155</v>
      </c>
      <c r="G35" s="111"/>
    </row>
    <row r="36" spans="1:7" ht="13.5" thickTop="1">
      <c r="A36" s="111"/>
      <c r="B36" s="111"/>
      <c r="C36" s="111"/>
      <c r="D36" s="111"/>
      <c r="E36" s="111"/>
      <c r="F36" s="111"/>
      <c r="G36" s="111"/>
    </row>
    <row r="37" spans="1:7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One Hundred Fifty-Five and NO/100 -----------</v>
      </c>
      <c r="C37" s="119"/>
      <c r="D37" s="119"/>
      <c r="E37" s="119"/>
      <c r="F37" s="119"/>
      <c r="G37" s="111"/>
    </row>
    <row r="38" spans="1:7">
      <c r="A38" s="120" t="s">
        <v>11</v>
      </c>
      <c r="B38" s="111"/>
      <c r="C38" s="111"/>
      <c r="D38" s="111"/>
      <c r="E38" s="111"/>
      <c r="F38" s="111"/>
    </row>
    <row r="39" spans="1:7" ht="25.5">
      <c r="A39" s="111" t="s">
        <v>10</v>
      </c>
      <c r="B39" s="111"/>
      <c r="C39" s="111"/>
      <c r="D39" s="265" t="s">
        <v>2894</v>
      </c>
      <c r="E39" s="266"/>
      <c r="F39" s="267"/>
    </row>
    <row r="40" spans="1:7">
      <c r="A40" s="111"/>
      <c r="B40" s="111"/>
      <c r="C40" s="111"/>
      <c r="D40" s="111"/>
      <c r="E40" s="111"/>
      <c r="F40" s="111"/>
    </row>
    <row r="41" spans="1:7">
      <c r="A41" s="126"/>
      <c r="B41" s="111"/>
      <c r="C41" s="111"/>
    </row>
    <row r="42" spans="1:7">
      <c r="A42" s="111"/>
      <c r="B42" s="111"/>
      <c r="C42" s="121"/>
      <c r="D42" s="111"/>
      <c r="E42" s="111"/>
      <c r="F42" s="111"/>
    </row>
    <row r="43" spans="1:7">
      <c r="A43" s="122"/>
      <c r="B43" s="122"/>
      <c r="C43" s="111"/>
      <c r="D43" s="111"/>
      <c r="E43" s="111"/>
      <c r="F43" s="111"/>
    </row>
    <row r="44" spans="1:7">
      <c r="B44" s="111"/>
      <c r="C44" s="111"/>
      <c r="D44" s="111"/>
      <c r="E44" s="111"/>
      <c r="F44" s="111"/>
    </row>
    <row r="45" spans="1:7">
      <c r="A45" s="123" t="s">
        <v>8</v>
      </c>
      <c r="C45" s="111"/>
      <c r="D45" s="123" t="s">
        <v>7</v>
      </c>
      <c r="E45" s="111"/>
      <c r="F45" s="124"/>
    </row>
    <row r="46" spans="1:7">
      <c r="A46" s="111"/>
      <c r="B46" s="111"/>
      <c r="C46" s="111"/>
      <c r="D46" s="111"/>
      <c r="E46" s="111"/>
      <c r="F46" s="111"/>
    </row>
    <row r="47" spans="1:7">
      <c r="A47" s="111"/>
      <c r="B47" s="111"/>
      <c r="C47" s="111"/>
      <c r="D47" s="111"/>
      <c r="E47" s="111"/>
      <c r="F47" s="111"/>
    </row>
    <row r="48" spans="1:7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1-000000000000}">
  <sheetPr codeName="Sheet385">
    <pageSetUpPr fitToPage="1"/>
  </sheetPr>
  <dimension ref="A1:G56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3044</v>
      </c>
      <c r="F9" s="111"/>
    </row>
    <row r="10" spans="1:6">
      <c r="A10" s="111" t="s">
        <v>3046</v>
      </c>
      <c r="B10" s="111"/>
      <c r="C10" s="111"/>
      <c r="D10" s="112" t="s">
        <v>1162</v>
      </c>
      <c r="E10" s="123" t="s">
        <v>3038</v>
      </c>
      <c r="F10" s="111"/>
    </row>
    <row r="11" spans="1:6">
      <c r="A11" s="111" t="s">
        <v>3047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3048</v>
      </c>
      <c r="B12" s="111"/>
      <c r="C12" s="111"/>
      <c r="D12" s="112" t="s">
        <v>1135</v>
      </c>
      <c r="E12" s="120" t="s">
        <v>3045</v>
      </c>
      <c r="F12" s="111"/>
    </row>
    <row r="13" spans="1:6">
      <c r="A13" s="111" t="s">
        <v>3049</v>
      </c>
      <c r="B13" s="111"/>
      <c r="C13" s="111"/>
      <c r="D13" s="111"/>
      <c r="E13" s="111"/>
      <c r="F13" s="111"/>
    </row>
    <row r="14" spans="1:6">
      <c r="A14" s="111" t="s">
        <v>3050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 t="s">
        <v>3056</v>
      </c>
      <c r="D18" s="111"/>
      <c r="E18" s="111"/>
      <c r="F18" s="111"/>
    </row>
    <row r="19" spans="1:7">
      <c r="A19" s="116"/>
      <c r="B19" s="116"/>
      <c r="C19" s="120"/>
      <c r="D19" s="111"/>
      <c r="E19" s="111"/>
      <c r="F19" s="111"/>
      <c r="G19" s="111"/>
    </row>
    <row r="20" spans="1:7">
      <c r="A20" s="116" t="s">
        <v>3043</v>
      </c>
      <c r="B20" s="116" t="s">
        <v>3051</v>
      </c>
      <c r="C20" s="111" t="s">
        <v>3052</v>
      </c>
      <c r="D20" s="111"/>
      <c r="E20" s="111"/>
      <c r="F20" s="111">
        <f>2295+1605</f>
        <v>3900</v>
      </c>
      <c r="G20" s="111"/>
    </row>
    <row r="21" spans="1:7">
      <c r="A21" s="116"/>
      <c r="B21" s="120"/>
      <c r="C21" s="111" t="s">
        <v>3053</v>
      </c>
      <c r="G21" s="111"/>
    </row>
    <row r="22" spans="1:7">
      <c r="A22" s="116"/>
      <c r="B22" s="116"/>
      <c r="C22" s="120"/>
      <c r="D22" s="111"/>
      <c r="E22" s="111"/>
      <c r="F22" s="111"/>
      <c r="G22" s="111"/>
    </row>
    <row r="23" spans="1:7">
      <c r="A23" s="116"/>
      <c r="B23" s="116"/>
      <c r="C23" s="111" t="s">
        <v>3052</v>
      </c>
      <c r="D23" s="111"/>
      <c r="E23" s="111"/>
      <c r="F23" s="111">
        <f>310+18</f>
        <v>328</v>
      </c>
      <c r="G23" s="111"/>
    </row>
    <row r="24" spans="1:7">
      <c r="A24" s="116"/>
      <c r="B24" s="116"/>
      <c r="C24" s="120" t="s">
        <v>3054</v>
      </c>
      <c r="D24" s="111"/>
      <c r="E24" s="111"/>
      <c r="F24" s="111"/>
      <c r="G24" s="111"/>
    </row>
    <row r="25" spans="1:7">
      <c r="A25" s="116"/>
      <c r="B25" s="116"/>
      <c r="C25" s="111"/>
      <c r="D25" s="111"/>
      <c r="E25" s="111"/>
      <c r="F25" s="111"/>
      <c r="G25" s="111"/>
    </row>
    <row r="26" spans="1:7">
      <c r="A26" s="116"/>
      <c r="B26" s="120"/>
      <c r="C26" s="111" t="s">
        <v>3055</v>
      </c>
      <c r="D26" s="111"/>
      <c r="E26" s="111"/>
      <c r="F26" s="111">
        <v>74</v>
      </c>
      <c r="G26" s="111"/>
    </row>
    <row r="27" spans="1:7">
      <c r="A27" s="116"/>
      <c r="B27" s="120"/>
      <c r="C27" s="111"/>
      <c r="D27" s="111"/>
      <c r="E27" s="111"/>
      <c r="F27" s="111"/>
      <c r="G27" s="111"/>
    </row>
    <row r="28" spans="1:7">
      <c r="A28" s="116"/>
      <c r="B28" s="120"/>
      <c r="C28" s="111"/>
      <c r="D28" s="111"/>
      <c r="E28" s="111"/>
      <c r="F28" s="111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6"/>
      <c r="B32" s="120"/>
      <c r="C32" s="111"/>
      <c r="D32" s="111"/>
      <c r="E32" s="111"/>
      <c r="F32" s="111"/>
      <c r="G32" s="111"/>
    </row>
    <row r="33" spans="1:7">
      <c r="A33" s="116"/>
      <c r="B33" s="120"/>
      <c r="C33" s="111"/>
      <c r="D33" s="111"/>
      <c r="E33" s="111"/>
      <c r="F33" s="111"/>
      <c r="G33" s="111"/>
    </row>
    <row r="34" spans="1:7">
      <c r="A34" s="111"/>
      <c r="B34" s="111"/>
      <c r="C34" s="111"/>
      <c r="D34" s="111"/>
      <c r="E34" s="111"/>
      <c r="G34" s="111"/>
    </row>
    <row r="35" spans="1:7" ht="13.5" thickBot="1">
      <c r="A35" s="111"/>
      <c r="B35" s="111"/>
      <c r="C35" s="111"/>
      <c r="D35" s="111"/>
      <c r="E35" s="111"/>
      <c r="F35" s="117">
        <f>SUM(F18:F34)</f>
        <v>4302</v>
      </c>
      <c r="G35" s="111"/>
    </row>
    <row r="36" spans="1:7" ht="13.5" thickTop="1">
      <c r="A36" s="111"/>
      <c r="B36" s="111"/>
      <c r="C36" s="111"/>
      <c r="D36" s="111"/>
      <c r="E36" s="111"/>
      <c r="F36" s="111"/>
      <c r="G36" s="111"/>
    </row>
    <row r="37" spans="1:7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Four Thousand Three Hundred Two and NO/100 -----------</v>
      </c>
      <c r="C37" s="119"/>
      <c r="D37" s="119"/>
      <c r="E37" s="119"/>
      <c r="F37" s="119"/>
      <c r="G37" s="111"/>
    </row>
    <row r="38" spans="1:7">
      <c r="A38" s="120" t="s">
        <v>11</v>
      </c>
      <c r="B38" s="111"/>
      <c r="C38" s="111"/>
      <c r="D38" s="111"/>
      <c r="E38" s="111"/>
      <c r="F38" s="111"/>
    </row>
    <row r="39" spans="1:7" ht="25.5">
      <c r="A39" s="111" t="s">
        <v>10</v>
      </c>
      <c r="B39" s="111"/>
      <c r="C39" s="111"/>
      <c r="D39" s="265" t="s">
        <v>2894</v>
      </c>
      <c r="E39" s="266"/>
      <c r="F39" s="267"/>
    </row>
    <row r="40" spans="1:7">
      <c r="A40" s="111"/>
      <c r="B40" s="111"/>
      <c r="C40" s="111"/>
      <c r="D40" s="111"/>
      <c r="E40" s="111"/>
      <c r="F40" s="111"/>
    </row>
    <row r="41" spans="1:7">
      <c r="A41" s="126"/>
      <c r="B41" s="111"/>
      <c r="C41" s="111"/>
    </row>
    <row r="42" spans="1:7">
      <c r="A42" s="111"/>
      <c r="B42" s="111"/>
      <c r="C42" s="121"/>
      <c r="D42" s="111"/>
      <c r="E42" s="111"/>
      <c r="F42" s="111"/>
    </row>
    <row r="43" spans="1:7">
      <c r="A43" s="122"/>
      <c r="B43" s="122"/>
      <c r="C43" s="111"/>
      <c r="D43" s="111"/>
      <c r="E43" s="111"/>
      <c r="F43" s="111"/>
    </row>
    <row r="44" spans="1:7">
      <c r="B44" s="111"/>
      <c r="C44" s="111"/>
      <c r="D44" s="111"/>
      <c r="E44" s="111"/>
      <c r="F44" s="111"/>
    </row>
    <row r="45" spans="1:7">
      <c r="A45" s="123" t="s">
        <v>8</v>
      </c>
      <c r="C45" s="111"/>
      <c r="D45" s="123" t="s">
        <v>7</v>
      </c>
      <c r="E45" s="111"/>
      <c r="F45" s="124"/>
    </row>
    <row r="46" spans="1:7">
      <c r="A46" s="111"/>
      <c r="B46" s="111"/>
      <c r="C46" s="111"/>
      <c r="D46" s="111"/>
      <c r="E46" s="111"/>
      <c r="F46" s="111"/>
    </row>
    <row r="47" spans="1:7">
      <c r="A47" s="111"/>
      <c r="B47" s="111"/>
      <c r="C47" s="111"/>
      <c r="D47" s="111"/>
      <c r="E47" s="111"/>
      <c r="F47" s="111"/>
    </row>
    <row r="48" spans="1:7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1-000000000000}">
  <sheetPr codeName="Sheet305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3668</v>
      </c>
    </row>
    <row r="10" spans="1:6">
      <c r="A10" s="111" t="s">
        <v>2716</v>
      </c>
      <c r="D10" s="112" t="s">
        <v>1180</v>
      </c>
      <c r="E10" s="123" t="s">
        <v>3656</v>
      </c>
    </row>
    <row r="11" spans="1:6">
      <c r="A11" s="111" t="s">
        <v>2717</v>
      </c>
      <c r="D11" s="112" t="s">
        <v>1181</v>
      </c>
      <c r="E11" s="112" t="s">
        <v>1094</v>
      </c>
    </row>
    <row r="12" spans="1:6">
      <c r="A12" s="111" t="s">
        <v>1149</v>
      </c>
      <c r="D12" s="112" t="s">
        <v>1182</v>
      </c>
      <c r="E12" s="112" t="s">
        <v>3669</v>
      </c>
    </row>
    <row r="13" spans="1:6">
      <c r="A13" s="111" t="s">
        <v>2718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16"/>
      <c r="B18" s="116"/>
      <c r="C18" s="2" t="s">
        <v>3670</v>
      </c>
    </row>
    <row r="20" spans="1:6">
      <c r="A20" s="116" t="s">
        <v>3642</v>
      </c>
      <c r="B20" s="121" t="s">
        <v>3671</v>
      </c>
      <c r="C20" s="111" t="s">
        <v>3672</v>
      </c>
      <c r="F20" s="111">
        <f>350*8</f>
        <v>2800</v>
      </c>
    </row>
    <row r="21" spans="1:6">
      <c r="C21" s="111" t="s">
        <v>3673</v>
      </c>
      <c r="F21" s="111">
        <v>220</v>
      </c>
    </row>
    <row r="22" spans="1:6">
      <c r="C22" s="111" t="s">
        <v>3674</v>
      </c>
      <c r="F22" s="111">
        <v>65</v>
      </c>
    </row>
    <row r="23" spans="1:6">
      <c r="A23" s="161"/>
      <c r="B23" s="121"/>
      <c r="C23" s="111" t="s">
        <v>3675</v>
      </c>
      <c r="F23" s="111">
        <f>65*5</f>
        <v>325</v>
      </c>
    </row>
    <row r="24" spans="1:6">
      <c r="A24" s="116"/>
      <c r="B24" s="251"/>
      <c r="C24" s="111" t="s">
        <v>3676</v>
      </c>
      <c r="F24" s="149">
        <v>85</v>
      </c>
    </row>
    <row r="27" spans="1:6">
      <c r="A27" s="120"/>
    </row>
    <row r="28" spans="1:6">
      <c r="C28" s="2"/>
      <c r="F28" s="149"/>
    </row>
    <row r="29" spans="1:6">
      <c r="A29" s="148"/>
      <c r="B29" s="121"/>
      <c r="C29" s="120"/>
    </row>
    <row r="33" spans="1:6" ht="13.5" thickBot="1">
      <c r="F33" s="127">
        <f>SUM(F18:F32)</f>
        <v>3495</v>
      </c>
    </row>
    <row r="34" spans="1:6" ht="13.5" thickTop="1"/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Three Thousand Four Hundred Ninety-Five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5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1-000000000000}">
  <sheetPr codeName="Sheet307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26" t="s">
        <v>2430</v>
      </c>
      <c r="F9" s="111"/>
    </row>
    <row r="10" spans="1:6">
      <c r="A10" s="111" t="s">
        <v>2434</v>
      </c>
      <c r="B10" s="111"/>
      <c r="C10" s="111"/>
      <c r="D10" s="112" t="s">
        <v>1162</v>
      </c>
      <c r="E10" s="160" t="s">
        <v>2420</v>
      </c>
      <c r="F10" s="111"/>
    </row>
    <row r="11" spans="1:6">
      <c r="A11" s="111"/>
      <c r="B11" s="111"/>
      <c r="C11" s="111"/>
      <c r="D11" s="112" t="s">
        <v>1163</v>
      </c>
      <c r="E11" s="160" t="s">
        <v>1094</v>
      </c>
      <c r="F11" s="111"/>
    </row>
    <row r="12" spans="1:6">
      <c r="A12" s="111"/>
      <c r="B12" s="111"/>
      <c r="C12" s="111"/>
      <c r="D12" s="112" t="s">
        <v>1096</v>
      </c>
      <c r="E12" s="160" t="s">
        <v>2431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B18" s="116"/>
      <c r="C18" s="2" t="s">
        <v>2429</v>
      </c>
      <c r="D18" s="111"/>
      <c r="E18" s="111"/>
      <c r="F18" s="111"/>
    </row>
    <row r="19" spans="1:6">
      <c r="A19" s="111"/>
      <c r="B19" s="111"/>
      <c r="C19" s="111"/>
      <c r="D19" s="111"/>
      <c r="E19" s="111"/>
      <c r="F19" s="111"/>
    </row>
    <row r="20" spans="1:6">
      <c r="A20" s="116" t="s">
        <v>2419</v>
      </c>
      <c r="B20" s="121"/>
      <c r="C20" s="111" t="s">
        <v>2432</v>
      </c>
      <c r="D20" s="111"/>
      <c r="E20" s="111"/>
      <c r="F20" s="111">
        <v>1600</v>
      </c>
    </row>
    <row r="21" spans="1:6">
      <c r="A21" s="112"/>
      <c r="B21" s="111"/>
      <c r="C21" s="111"/>
      <c r="D21" s="111"/>
      <c r="E21" s="111"/>
      <c r="F21" s="111"/>
    </row>
    <row r="22" spans="1:6">
      <c r="A22" s="111"/>
      <c r="B22" s="111"/>
      <c r="C22" s="111"/>
      <c r="D22" s="111"/>
      <c r="E22" s="111"/>
      <c r="F22" s="111"/>
    </row>
    <row r="23" spans="1:6">
      <c r="A23" s="111"/>
      <c r="B23" s="111"/>
      <c r="C23" s="111"/>
      <c r="D23" s="111"/>
      <c r="E23" s="111"/>
      <c r="F23" s="111"/>
    </row>
    <row r="24" spans="1:6">
      <c r="A24" s="111"/>
      <c r="B24" s="111"/>
      <c r="C24" s="111"/>
      <c r="D24" s="111"/>
      <c r="E24" s="111"/>
      <c r="F24" s="111"/>
    </row>
    <row r="25" spans="1:6">
      <c r="A25" s="111"/>
      <c r="B25" s="111"/>
      <c r="C25" s="111"/>
      <c r="D25" s="111"/>
      <c r="E25" s="111"/>
      <c r="F25" s="111"/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SUM(F20:F32)</f>
        <v>1600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202" t="s">
        <v>2433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>
      <c r="A37" s="111" t="s">
        <v>10</v>
      </c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A42" s="111"/>
      <c r="B42" s="111"/>
      <c r="C42" s="111"/>
      <c r="D42" s="111"/>
      <c r="E42" s="111"/>
      <c r="F42" s="111"/>
    </row>
    <row r="43" spans="1:6">
      <c r="A43" s="123" t="s">
        <v>8</v>
      </c>
      <c r="B43" s="111"/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1-000000000000}">
  <sheetPr codeName="Sheet207">
    <pageSetUpPr fitToPage="1"/>
  </sheetPr>
  <dimension ref="A1:F54"/>
  <sheetViews>
    <sheetView topLeftCell="A4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4379</v>
      </c>
      <c r="F9" s="111"/>
    </row>
    <row r="10" spans="1:6">
      <c r="A10" s="111" t="s">
        <v>1768</v>
      </c>
      <c r="B10" s="111"/>
      <c r="C10" s="111"/>
      <c r="D10" s="112" t="s">
        <v>1162</v>
      </c>
      <c r="E10" s="123" t="s">
        <v>4369</v>
      </c>
      <c r="F10" s="111"/>
    </row>
    <row r="11" spans="1:6">
      <c r="A11" s="111" t="s">
        <v>1769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1496</v>
      </c>
      <c r="B12" s="111"/>
      <c r="C12" s="111"/>
      <c r="D12" s="112" t="s">
        <v>1135</v>
      </c>
      <c r="E12" s="120" t="s">
        <v>4380</v>
      </c>
      <c r="F12" s="111"/>
    </row>
    <row r="13" spans="1:6">
      <c r="A13" s="111" t="s">
        <v>1770</v>
      </c>
      <c r="B13" s="111"/>
      <c r="C13" s="111"/>
      <c r="D13" s="111"/>
      <c r="E13" s="111"/>
      <c r="F13" s="111"/>
    </row>
    <row r="14" spans="1:6">
      <c r="A14" s="111" t="s">
        <v>1771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6"/>
      <c r="B18" s="116"/>
      <c r="C18" s="168" t="s">
        <v>4317</v>
      </c>
      <c r="D18" s="111"/>
      <c r="E18" s="111"/>
      <c r="F18" s="111"/>
    </row>
    <row r="19" spans="1:6">
      <c r="C19" s="111"/>
    </row>
    <row r="20" spans="1:6">
      <c r="A20" s="116" t="s">
        <v>4370</v>
      </c>
      <c r="B20" s="116" t="s">
        <v>4381</v>
      </c>
      <c r="C20" s="120" t="s">
        <v>4382</v>
      </c>
      <c r="D20" s="111"/>
      <c r="E20" s="111"/>
      <c r="F20" s="111">
        <f>7.35849*300</f>
        <v>2207.547</v>
      </c>
    </row>
    <row r="21" spans="1:6">
      <c r="C21" s="111" t="s">
        <v>1814</v>
      </c>
      <c r="D21" s="111"/>
      <c r="E21" s="111"/>
      <c r="F21" s="111">
        <f>F20*6%</f>
        <v>132.45282</v>
      </c>
    </row>
    <row r="22" spans="1:6">
      <c r="A22" s="116"/>
      <c r="B22" s="116"/>
      <c r="C22" s="111"/>
      <c r="D22" s="111"/>
      <c r="E22" s="111"/>
      <c r="F22" s="111"/>
    </row>
    <row r="23" spans="1:6">
      <c r="C23" s="111"/>
      <c r="D23" s="111"/>
      <c r="E23" s="111"/>
      <c r="F23" s="111"/>
    </row>
    <row r="24" spans="1:6">
      <c r="A24" s="116"/>
      <c r="B24" s="116"/>
      <c r="C24" s="111"/>
      <c r="D24" s="111"/>
      <c r="E24" s="111"/>
      <c r="F24" s="111"/>
    </row>
    <row r="25" spans="1:6">
      <c r="A25" s="116"/>
      <c r="B25" s="116"/>
      <c r="C25" s="111"/>
      <c r="D25" s="111"/>
      <c r="E25" s="111"/>
      <c r="F25" s="111"/>
    </row>
    <row r="26" spans="1:6">
      <c r="A26" s="116"/>
      <c r="B26" s="116"/>
      <c r="C26" s="111"/>
      <c r="D26" s="111"/>
      <c r="E26" s="111"/>
      <c r="F26" s="111"/>
    </row>
    <row r="27" spans="1:6">
      <c r="A27" s="116"/>
      <c r="B27" s="116"/>
      <c r="C27" s="111"/>
      <c r="D27" s="111"/>
      <c r="E27" s="111"/>
      <c r="F27" s="111"/>
    </row>
    <row r="28" spans="1:6">
      <c r="A28" s="116"/>
      <c r="B28" s="120"/>
      <c r="C28" s="111"/>
      <c r="D28" s="111"/>
      <c r="E28" s="111"/>
      <c r="F28" s="111"/>
    </row>
    <row r="29" spans="1:6">
      <c r="A29" s="116"/>
      <c r="B29" s="120"/>
      <c r="C29" s="2"/>
      <c r="D29" s="111"/>
      <c r="E29" s="111"/>
      <c r="F29" s="111"/>
    </row>
    <row r="30" spans="1:6">
      <c r="B30" s="120"/>
      <c r="C30" s="111"/>
      <c r="D30" s="111"/>
      <c r="E30" s="111"/>
      <c r="F30" s="111"/>
    </row>
    <row r="31" spans="1:6">
      <c r="A31" s="116"/>
      <c r="B31" s="116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</row>
    <row r="33" spans="1:6" ht="13.5" thickBot="1">
      <c r="A33" s="111"/>
      <c r="B33" s="111"/>
      <c r="C33" s="111"/>
      <c r="D33" s="111"/>
      <c r="E33" s="111"/>
      <c r="F33" s="117">
        <f>SUM(F18:F32)</f>
        <v>2339.99982</v>
      </c>
    </row>
    <row r="34" spans="1:6" ht="13.5" thickTop="1">
      <c r="A34" s="111"/>
      <c r="B34" s="111"/>
      <c r="C34" s="111"/>
      <c r="D34" s="111"/>
      <c r="E34" s="111"/>
      <c r="F34" s="111"/>
    </row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Thousand Three Hundred Thirty-Nine and 100/100 -----------</v>
      </c>
      <c r="C35" s="119"/>
      <c r="D35" s="119"/>
      <c r="E35" s="119"/>
      <c r="F35" s="119"/>
    </row>
    <row r="36" spans="1:6">
      <c r="A36" s="120" t="s">
        <v>11</v>
      </c>
      <c r="B36" s="111"/>
      <c r="C36" s="111"/>
      <c r="D36" s="111"/>
      <c r="E36" s="111"/>
      <c r="F36" s="111"/>
    </row>
    <row r="37" spans="1:6" ht="25.5">
      <c r="A37" s="111" t="s">
        <v>10</v>
      </c>
      <c r="B37" s="111"/>
      <c r="C37" s="111"/>
      <c r="D37" s="265" t="s">
        <v>2894</v>
      </c>
      <c r="E37" s="266"/>
      <c r="F37" s="267"/>
    </row>
    <row r="38" spans="1:6">
      <c r="A38" s="111"/>
      <c r="B38" s="111"/>
      <c r="C38" s="111"/>
      <c r="D38" s="111"/>
      <c r="E38" s="111"/>
      <c r="F38" s="111"/>
    </row>
    <row r="39" spans="1:6">
      <c r="A39" s="126"/>
      <c r="B39" s="111"/>
      <c r="C39" s="111"/>
    </row>
    <row r="40" spans="1:6">
      <c r="A40" s="111"/>
      <c r="B40" s="111"/>
      <c r="C40" s="121"/>
      <c r="D40" s="111"/>
      <c r="E40" s="111"/>
      <c r="F40" s="111"/>
    </row>
    <row r="41" spans="1:6">
      <c r="A41" s="122"/>
      <c r="B41" s="122"/>
      <c r="C41" s="111"/>
      <c r="D41" s="111"/>
      <c r="E41" s="111"/>
      <c r="F41" s="111"/>
    </row>
    <row r="42" spans="1:6">
      <c r="B42" s="111"/>
      <c r="C42" s="111"/>
      <c r="D42" s="111"/>
      <c r="E42" s="111"/>
      <c r="F42" s="111"/>
    </row>
    <row r="43" spans="1:6">
      <c r="A43" s="123" t="s">
        <v>8</v>
      </c>
      <c r="C43" s="111"/>
      <c r="D43" s="123" t="s">
        <v>7</v>
      </c>
      <c r="E43" s="111"/>
      <c r="F43" s="124"/>
    </row>
    <row r="44" spans="1:6">
      <c r="A44" s="111"/>
      <c r="B44" s="111"/>
      <c r="C44" s="111"/>
      <c r="D44" s="111"/>
      <c r="E44" s="111"/>
      <c r="F44" s="111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22"/>
      <c r="B47" s="122"/>
      <c r="C47" s="111"/>
      <c r="D47" s="122"/>
      <c r="E47" s="122"/>
      <c r="F47" s="122"/>
    </row>
    <row r="48" spans="1:6" s="3" customFormat="1" ht="17.100000000000001" customHeight="1">
      <c r="A48" s="151" t="s">
        <v>2948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/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62">
    <pageSetUpPr fitToPage="1"/>
  </sheetPr>
  <dimension ref="A1:F56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2865</v>
      </c>
      <c r="F9" s="111"/>
    </row>
    <row r="10" spans="1:6">
      <c r="A10" s="111" t="s">
        <v>2781</v>
      </c>
      <c r="B10" s="111"/>
      <c r="C10" s="111"/>
      <c r="D10" s="112" t="s">
        <v>1162</v>
      </c>
      <c r="E10" s="112" t="s">
        <v>2867</v>
      </c>
      <c r="F10" s="111"/>
    </row>
    <row r="11" spans="1:6">
      <c r="A11" s="111" t="s">
        <v>1092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2782</v>
      </c>
      <c r="B12" s="111"/>
      <c r="C12" s="111"/>
      <c r="D12" s="112" t="s">
        <v>1096</v>
      </c>
      <c r="E12" s="112" t="s">
        <v>2866</v>
      </c>
      <c r="F12" s="111"/>
    </row>
    <row r="13" spans="1:6">
      <c r="A13" s="111"/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B18" s="116"/>
      <c r="C18" s="2" t="s">
        <v>1099</v>
      </c>
      <c r="D18" s="111"/>
      <c r="E18" s="111"/>
      <c r="F18" s="111"/>
    </row>
    <row r="19" spans="1:6">
      <c r="A19" s="111"/>
      <c r="B19" s="111"/>
      <c r="C19" s="2" t="s">
        <v>2779</v>
      </c>
      <c r="D19" s="111"/>
      <c r="E19" s="111"/>
      <c r="F19" s="111"/>
    </row>
    <row r="20" spans="1:6">
      <c r="A20" s="173"/>
      <c r="B20" s="111"/>
      <c r="D20" s="111"/>
      <c r="E20" s="111"/>
      <c r="F20" s="111"/>
    </row>
    <row r="21" spans="1:6">
      <c r="A21" s="166" t="s">
        <v>2780</v>
      </c>
      <c r="B21" s="111"/>
      <c r="C21" s="111" t="s">
        <v>1616</v>
      </c>
      <c r="D21" s="111"/>
      <c r="E21" s="111"/>
      <c r="F21" s="111"/>
    </row>
    <row r="22" spans="1:6">
      <c r="A22" s="174"/>
      <c r="B22" s="111"/>
      <c r="C22" s="111" t="s">
        <v>2868</v>
      </c>
      <c r="D22" s="111"/>
      <c r="E22" s="111"/>
      <c r="F22" s="111">
        <v>191.95</v>
      </c>
    </row>
    <row r="23" spans="1:6">
      <c r="A23" s="173"/>
      <c r="B23" s="111"/>
      <c r="C23" s="111"/>
      <c r="D23" s="111"/>
      <c r="E23" s="111"/>
      <c r="F23" s="111"/>
    </row>
    <row r="24" spans="1:6">
      <c r="C24" s="111"/>
      <c r="F24" s="111"/>
    </row>
    <row r="25" spans="1:6">
      <c r="A25" s="174"/>
      <c r="B25" s="111"/>
      <c r="C25" s="111"/>
      <c r="D25" s="111"/>
      <c r="E25" s="111"/>
      <c r="F25" s="111"/>
    </row>
    <row r="26" spans="1:6">
      <c r="A26" s="173"/>
      <c r="B26" s="111"/>
      <c r="C26" s="111"/>
      <c r="D26" s="111"/>
      <c r="E26" s="111"/>
      <c r="F26" s="111"/>
    </row>
    <row r="27" spans="1:6">
      <c r="A27" s="173"/>
      <c r="B27" s="111"/>
      <c r="C27" s="111"/>
      <c r="D27" s="111"/>
      <c r="E27" s="111"/>
      <c r="F27" s="111"/>
    </row>
    <row r="28" spans="1:6">
      <c r="A28" s="173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  <c r="F32" s="111"/>
    </row>
    <row r="33" spans="1:6">
      <c r="A33" s="111"/>
      <c r="B33" s="111"/>
      <c r="C33" s="111"/>
      <c r="D33" s="111"/>
      <c r="E33" s="111"/>
      <c r="F33" s="111"/>
    </row>
    <row r="34" spans="1:6">
      <c r="A34" s="111"/>
      <c r="B34" s="111"/>
      <c r="C34" s="111"/>
      <c r="D34" s="111"/>
      <c r="E34" s="111"/>
    </row>
    <row r="35" spans="1:6" ht="13.5" thickBot="1">
      <c r="A35" s="111"/>
      <c r="B35" s="111"/>
      <c r="C35" s="111"/>
      <c r="D35" s="111"/>
      <c r="E35" s="111"/>
      <c r="F35" s="117">
        <f>SUM(F18:F33)</f>
        <v>191.95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Hundred Ninety-One and 95/100 -----------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A44" s="111"/>
      <c r="B44" s="111"/>
      <c r="C44" s="111"/>
      <c r="D44" s="111"/>
      <c r="E44" s="111"/>
      <c r="F44" s="111"/>
    </row>
    <row r="45" spans="1:6">
      <c r="A45" s="123" t="s">
        <v>8</v>
      </c>
      <c r="B45" s="111"/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5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1-000000000000}">
  <sheetPr codeName="Sheet308">
    <pageSetUpPr fitToPage="1"/>
  </sheetPr>
  <dimension ref="A1:G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2368</v>
      </c>
      <c r="F9" s="111"/>
    </row>
    <row r="10" spans="1:6">
      <c r="A10" s="111" t="s">
        <v>2370</v>
      </c>
      <c r="B10" s="111"/>
      <c r="C10" s="111"/>
      <c r="D10" s="112" t="s">
        <v>1162</v>
      </c>
      <c r="E10" s="111" t="s">
        <v>2355</v>
      </c>
      <c r="F10" s="111"/>
    </row>
    <row r="11" spans="1:6">
      <c r="A11" s="111" t="s">
        <v>2371</v>
      </c>
      <c r="B11" s="111"/>
      <c r="C11" s="111"/>
      <c r="D11" s="112" t="s">
        <v>1163</v>
      </c>
      <c r="E11" s="111" t="s">
        <v>1094</v>
      </c>
      <c r="F11" s="111"/>
    </row>
    <row r="12" spans="1:6">
      <c r="A12" s="111" t="s">
        <v>1496</v>
      </c>
      <c r="B12" s="111"/>
      <c r="C12" s="111"/>
      <c r="D12" s="112" t="s">
        <v>1135</v>
      </c>
      <c r="E12" s="120" t="s">
        <v>2369</v>
      </c>
      <c r="F12" s="111"/>
    </row>
    <row r="13" spans="1:6">
      <c r="A13" s="111" t="s">
        <v>2372</v>
      </c>
      <c r="B13" s="111"/>
      <c r="C13" s="111"/>
      <c r="D13" s="111"/>
      <c r="E13" s="111"/>
      <c r="F13" s="111"/>
    </row>
    <row r="14" spans="1:6">
      <c r="A14" s="111" t="s">
        <v>2373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 t="s">
        <v>2288</v>
      </c>
      <c r="D18" s="111"/>
      <c r="E18" s="111"/>
      <c r="F18" s="111"/>
    </row>
    <row r="19" spans="1:7">
      <c r="A19" s="116"/>
      <c r="B19" s="116"/>
      <c r="C19" s="120"/>
      <c r="D19" s="111"/>
      <c r="E19" s="111"/>
      <c r="F19" s="111"/>
      <c r="G19" s="111"/>
    </row>
    <row r="20" spans="1:7">
      <c r="A20" s="116" t="s">
        <v>2374</v>
      </c>
      <c r="B20" s="116" t="s">
        <v>2375</v>
      </c>
      <c r="C20" s="111" t="s">
        <v>2376</v>
      </c>
      <c r="D20" s="111"/>
      <c r="E20" s="111"/>
      <c r="F20" s="111">
        <v>1200</v>
      </c>
      <c r="G20" s="111"/>
    </row>
    <row r="21" spans="1:7">
      <c r="A21" s="116"/>
      <c r="B21" s="120"/>
      <c r="G21" s="111"/>
    </row>
    <row r="22" spans="1:7">
      <c r="A22" s="116"/>
      <c r="B22" s="116"/>
      <c r="C22" s="120"/>
      <c r="D22" s="111"/>
      <c r="E22" s="111"/>
      <c r="F22" s="111"/>
      <c r="G22" s="111"/>
    </row>
    <row r="23" spans="1:7">
      <c r="A23" s="116"/>
      <c r="B23" s="116"/>
      <c r="C23" s="111"/>
      <c r="D23" s="111"/>
      <c r="E23" s="111"/>
      <c r="F23" s="111"/>
      <c r="G23" s="111"/>
    </row>
    <row r="24" spans="1:7">
      <c r="A24" s="116"/>
      <c r="B24" s="120"/>
      <c r="C24" s="111"/>
      <c r="D24" s="111"/>
      <c r="E24" s="111"/>
      <c r="F24" s="111"/>
      <c r="G24" s="111"/>
    </row>
    <row r="25" spans="1:7">
      <c r="A25" s="116"/>
      <c r="B25" s="120"/>
      <c r="C25" s="111"/>
      <c r="D25" s="111"/>
      <c r="E25" s="111"/>
      <c r="F25" s="111"/>
      <c r="G25" s="111"/>
    </row>
    <row r="26" spans="1:7">
      <c r="A26" s="116"/>
      <c r="B26" s="120"/>
      <c r="C26" s="111"/>
      <c r="D26" s="111"/>
      <c r="E26" s="111"/>
      <c r="F26" s="111"/>
      <c r="G26" s="111"/>
    </row>
    <row r="27" spans="1:7">
      <c r="A27" s="116"/>
      <c r="B27" s="120"/>
      <c r="C27" s="111"/>
      <c r="D27" s="111"/>
      <c r="E27" s="111"/>
      <c r="F27" s="111"/>
      <c r="G27" s="111"/>
    </row>
    <row r="28" spans="1:7">
      <c r="A28" s="116"/>
      <c r="B28" s="120"/>
      <c r="C28" s="111"/>
      <c r="D28" s="111"/>
      <c r="E28" s="111"/>
      <c r="F28" s="111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1"/>
      <c r="B32" s="111"/>
      <c r="C32" s="111"/>
      <c r="D32" s="111"/>
      <c r="E32" s="111"/>
      <c r="G32" s="111"/>
    </row>
    <row r="33" spans="1:7" ht="13.5" thickBot="1">
      <c r="A33" s="111"/>
      <c r="B33" s="111"/>
      <c r="C33" s="111"/>
      <c r="D33" s="111"/>
      <c r="E33" s="111"/>
      <c r="F33" s="117">
        <f>SUM(F20:F32)</f>
        <v>1200</v>
      </c>
      <c r="G33" s="111"/>
    </row>
    <row r="34" spans="1:7" ht="13.5" thickTop="1">
      <c r="A34" s="111"/>
      <c r="B34" s="111"/>
      <c r="C34" s="111"/>
      <c r="D34" s="111"/>
      <c r="E34" s="111"/>
      <c r="F34" s="111"/>
      <c r="G34" s="111"/>
    </row>
    <row r="35" spans="1:7" ht="20.100000000000001" customHeight="1">
      <c r="A35" s="118" t="s">
        <v>1133</v>
      </c>
      <c r="B35" s="118" t="s">
        <v>2180</v>
      </c>
      <c r="C35" s="119"/>
      <c r="D35" s="119"/>
      <c r="E35" s="119"/>
      <c r="F35" s="119"/>
      <c r="G35" s="111"/>
    </row>
    <row r="36" spans="1:7">
      <c r="A36" s="120" t="s">
        <v>11</v>
      </c>
      <c r="B36" s="111"/>
      <c r="C36" s="111"/>
      <c r="D36" s="111"/>
      <c r="E36" s="111"/>
      <c r="F36" s="111"/>
    </row>
    <row r="37" spans="1:7">
      <c r="A37" s="111" t="s">
        <v>10</v>
      </c>
      <c r="B37" s="111"/>
      <c r="C37" s="111"/>
      <c r="D37" s="111"/>
      <c r="E37" s="111"/>
      <c r="F37" s="111"/>
    </row>
    <row r="38" spans="1:7">
      <c r="A38" s="111"/>
      <c r="B38" s="111"/>
      <c r="C38" s="111"/>
      <c r="D38" s="111"/>
      <c r="E38" s="111"/>
      <c r="F38" s="111"/>
    </row>
    <row r="39" spans="1:7" ht="25.5">
      <c r="A39" s="126"/>
      <c r="B39" s="111"/>
      <c r="C39" s="111"/>
      <c r="D39" s="265" t="s">
        <v>2894</v>
      </c>
      <c r="E39" s="266"/>
      <c r="F39" s="267"/>
    </row>
    <row r="40" spans="1:7">
      <c r="A40" s="111"/>
      <c r="B40" s="111"/>
      <c r="C40" s="121"/>
      <c r="D40" s="111"/>
      <c r="E40" s="111"/>
      <c r="F40" s="111"/>
    </row>
    <row r="41" spans="1:7">
      <c r="A41" s="122"/>
      <c r="B41" s="122"/>
      <c r="C41" s="111"/>
      <c r="D41" s="111"/>
      <c r="E41" s="111"/>
      <c r="F41" s="111"/>
    </row>
    <row r="42" spans="1:7">
      <c r="B42" s="111"/>
      <c r="C42" s="111"/>
      <c r="D42" s="111"/>
      <c r="E42" s="111"/>
      <c r="F42" s="111"/>
    </row>
    <row r="43" spans="1:7">
      <c r="A43" s="123" t="s">
        <v>8</v>
      </c>
      <c r="C43" s="111"/>
      <c r="D43" s="123" t="s">
        <v>7</v>
      </c>
      <c r="E43" s="111"/>
      <c r="F43" s="124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11"/>
      <c r="D45" s="111"/>
      <c r="E45" s="111"/>
      <c r="F45" s="111"/>
    </row>
    <row r="46" spans="1:7">
      <c r="A46" s="111"/>
      <c r="B46" s="111"/>
      <c r="C46" s="111"/>
      <c r="D46" s="111"/>
      <c r="E46" s="111"/>
      <c r="F46" s="111"/>
    </row>
    <row r="47" spans="1:7">
      <c r="A47" s="122"/>
      <c r="B47" s="122"/>
      <c r="C47" s="111"/>
      <c r="D47" s="122"/>
      <c r="E47" s="122"/>
      <c r="F47" s="122"/>
    </row>
    <row r="48" spans="1:7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1-000000000000}">
  <sheetPr codeName="Sheet257">
    <pageSetUpPr fitToPage="1"/>
  </sheetPr>
  <dimension ref="A1:G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F9" s="111"/>
    </row>
    <row r="10" spans="1:6">
      <c r="A10" s="111" t="s">
        <v>2253</v>
      </c>
      <c r="B10" s="111"/>
      <c r="C10" s="111"/>
      <c r="D10" s="112" t="s">
        <v>1162</v>
      </c>
      <c r="F10" s="111"/>
    </row>
    <row r="11" spans="1:6">
      <c r="A11" s="111" t="s">
        <v>2254</v>
      </c>
      <c r="B11" s="111"/>
      <c r="C11" s="111"/>
      <c r="D11" s="112" t="s">
        <v>1163</v>
      </c>
      <c r="F11" s="111"/>
    </row>
    <row r="12" spans="1:6">
      <c r="A12" s="111" t="s">
        <v>1365</v>
      </c>
      <c r="B12" s="111"/>
      <c r="C12" s="111"/>
      <c r="D12" s="112" t="s">
        <v>1135</v>
      </c>
      <c r="F12" s="111"/>
    </row>
    <row r="13" spans="1:6">
      <c r="A13" s="111" t="s">
        <v>2255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 t="s">
        <v>2251</v>
      </c>
      <c r="D18" s="111"/>
      <c r="E18" s="111"/>
      <c r="F18" s="111"/>
    </row>
    <row r="19" spans="1:7">
      <c r="C19" s="120"/>
      <c r="D19" s="111"/>
      <c r="E19" s="111"/>
      <c r="F19" s="111"/>
      <c r="G19" s="111"/>
    </row>
    <row r="20" spans="1:7">
      <c r="A20" s="116" t="s">
        <v>2215</v>
      </c>
      <c r="B20" s="116" t="s">
        <v>2247</v>
      </c>
      <c r="C20" s="111" t="s">
        <v>2256</v>
      </c>
      <c r="D20" s="111"/>
      <c r="E20" s="111"/>
      <c r="F20" s="111">
        <v>1200</v>
      </c>
      <c r="G20" s="111"/>
    </row>
    <row r="21" spans="1:7">
      <c r="A21" s="116"/>
      <c r="B21" s="120"/>
      <c r="G21" s="111"/>
    </row>
    <row r="22" spans="1:7">
      <c r="A22" s="116"/>
      <c r="B22" s="116"/>
      <c r="C22" s="120"/>
      <c r="D22" s="111"/>
      <c r="E22" s="111"/>
      <c r="F22" s="111"/>
      <c r="G22" s="111"/>
    </row>
    <row r="23" spans="1:7">
      <c r="A23" s="116"/>
      <c r="B23" s="116"/>
      <c r="C23" s="111"/>
      <c r="D23" s="111"/>
      <c r="E23" s="111"/>
      <c r="F23" s="111"/>
      <c r="G23" s="111"/>
    </row>
    <row r="24" spans="1:7">
      <c r="A24" s="116"/>
      <c r="B24" s="120"/>
      <c r="C24" s="111"/>
      <c r="D24" s="111"/>
      <c r="E24" s="111"/>
      <c r="F24" s="111"/>
      <c r="G24" s="111"/>
    </row>
    <row r="25" spans="1:7">
      <c r="A25" s="116"/>
      <c r="B25" s="120"/>
      <c r="C25" s="111"/>
      <c r="D25" s="111"/>
      <c r="E25" s="111"/>
      <c r="F25" s="111"/>
      <c r="G25" s="111"/>
    </row>
    <row r="26" spans="1:7">
      <c r="A26" s="116"/>
      <c r="B26" s="120"/>
      <c r="C26" s="111"/>
      <c r="D26" s="111"/>
      <c r="E26" s="111"/>
      <c r="F26" s="111"/>
      <c r="G26" s="111"/>
    </row>
    <row r="27" spans="1:7">
      <c r="A27" s="116"/>
      <c r="B27" s="120"/>
      <c r="C27" s="111"/>
      <c r="D27" s="111"/>
      <c r="E27" s="111"/>
      <c r="F27" s="111"/>
      <c r="G27" s="111"/>
    </row>
    <row r="28" spans="1:7">
      <c r="A28" s="116"/>
      <c r="B28" s="120"/>
      <c r="C28" s="111"/>
      <c r="D28" s="111"/>
      <c r="E28" s="111"/>
      <c r="F28" s="111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1"/>
      <c r="B32" s="111"/>
      <c r="C32" s="111"/>
      <c r="D32" s="111"/>
      <c r="E32" s="111"/>
      <c r="G32" s="111"/>
    </row>
    <row r="33" spans="1:7" ht="13.5" thickBot="1">
      <c r="A33" s="111"/>
      <c r="B33" s="111"/>
      <c r="C33" s="111"/>
      <c r="D33" s="111"/>
      <c r="E33" s="111"/>
      <c r="F33" s="117">
        <f>SUM(F20:F32)</f>
        <v>1200</v>
      </c>
      <c r="G33" s="111"/>
    </row>
    <row r="34" spans="1:7" ht="13.5" thickTop="1">
      <c r="A34" s="111"/>
      <c r="B34" s="111"/>
      <c r="C34" s="111"/>
      <c r="D34" s="111"/>
      <c r="E34" s="111"/>
      <c r="F34" s="111"/>
      <c r="G34" s="111"/>
    </row>
    <row r="35" spans="1:7" ht="20.100000000000001" customHeight="1">
      <c r="A35" s="118" t="s">
        <v>1133</v>
      </c>
      <c r="B35" s="118" t="s">
        <v>2180</v>
      </c>
      <c r="C35" s="119"/>
      <c r="D35" s="119"/>
      <c r="E35" s="119"/>
      <c r="F35" s="119"/>
      <c r="G35" s="111"/>
    </row>
    <row r="36" spans="1:7">
      <c r="A36" s="120" t="s">
        <v>11</v>
      </c>
      <c r="B36" s="111"/>
      <c r="C36" s="111"/>
      <c r="D36" s="111"/>
      <c r="E36" s="111"/>
      <c r="F36" s="111"/>
    </row>
    <row r="37" spans="1:7">
      <c r="A37" s="111" t="s">
        <v>10</v>
      </c>
      <c r="B37" s="111"/>
      <c r="C37" s="111"/>
      <c r="D37" s="111"/>
      <c r="E37" s="111"/>
      <c r="F37" s="111"/>
    </row>
    <row r="38" spans="1:7">
      <c r="A38" s="111"/>
      <c r="B38" s="111"/>
      <c r="C38" s="111"/>
      <c r="D38" s="111"/>
      <c r="E38" s="111"/>
      <c r="F38" s="111"/>
    </row>
    <row r="39" spans="1:7" ht="25.5">
      <c r="A39" s="126"/>
      <c r="B39" s="111"/>
      <c r="C39" s="111"/>
      <c r="D39" s="265" t="s">
        <v>2894</v>
      </c>
      <c r="E39" s="266"/>
      <c r="F39" s="267"/>
    </row>
    <row r="40" spans="1:7">
      <c r="A40" s="111"/>
      <c r="B40" s="111"/>
      <c r="C40" s="121"/>
      <c r="D40" s="111"/>
      <c r="E40" s="111"/>
      <c r="F40" s="111"/>
    </row>
    <row r="41" spans="1:7">
      <c r="A41" s="122"/>
      <c r="B41" s="122"/>
      <c r="C41" s="111"/>
      <c r="D41" s="111"/>
      <c r="E41" s="111"/>
      <c r="F41" s="111"/>
    </row>
    <row r="42" spans="1:7">
      <c r="B42" s="111"/>
      <c r="C42" s="111"/>
      <c r="D42" s="111"/>
      <c r="E42" s="111"/>
      <c r="F42" s="111"/>
    </row>
    <row r="43" spans="1:7">
      <c r="A43" s="123" t="s">
        <v>8</v>
      </c>
      <c r="C43" s="111"/>
      <c r="D43" s="123" t="s">
        <v>7</v>
      </c>
      <c r="E43" s="111"/>
      <c r="F43" s="124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11"/>
      <c r="D45" s="111"/>
      <c r="E45" s="111"/>
      <c r="F45" s="111"/>
    </row>
    <row r="46" spans="1:7">
      <c r="A46" s="111"/>
      <c r="B46" s="111"/>
      <c r="C46" s="111"/>
      <c r="D46" s="111"/>
      <c r="E46" s="111"/>
      <c r="F46" s="111"/>
    </row>
    <row r="47" spans="1:7">
      <c r="A47" s="122"/>
      <c r="B47" s="122"/>
      <c r="C47" s="111"/>
      <c r="D47" s="122"/>
      <c r="E47" s="122"/>
      <c r="F47" s="122"/>
    </row>
    <row r="48" spans="1:7" s="3" customFormat="1" ht="17.100000000000001" customHeight="1">
      <c r="A48" s="125" t="s">
        <v>4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1-000000000000}">
  <sheetPr codeName="Sheet185"/>
  <dimension ref="A1:I53"/>
  <sheetViews>
    <sheetView view="pageBreakPreview" zoomScaleNormal="100" zoomScaleSheetLayoutView="100" workbookViewId="0">
      <selection activeCell="F17" sqref="F17"/>
    </sheetView>
  </sheetViews>
  <sheetFormatPr defaultRowHeight="12.75"/>
  <cols>
    <col min="1" max="1" width="16.140625" style="1" customWidth="1"/>
    <col min="2" max="2" width="12.5703125" style="1" customWidth="1"/>
    <col min="3" max="3" width="0.5703125" style="1" customWidth="1"/>
    <col min="4" max="4" width="21.85546875" style="1" customWidth="1"/>
    <col min="5" max="5" width="0.4257812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483" t="s">
        <v>7127</v>
      </c>
      <c r="H9" s="111"/>
    </row>
    <row r="10" spans="1:8">
      <c r="A10" s="111" t="s">
        <v>1553</v>
      </c>
      <c r="B10" s="111"/>
      <c r="C10" s="111"/>
      <c r="D10" s="111"/>
      <c r="E10" s="111"/>
      <c r="F10" s="112" t="s">
        <v>1162</v>
      </c>
      <c r="G10" s="484" t="s">
        <v>7126</v>
      </c>
      <c r="H10" s="111"/>
    </row>
    <row r="11" spans="1:8">
      <c r="A11" s="111" t="s">
        <v>1554</v>
      </c>
      <c r="B11" s="111"/>
      <c r="C11" s="111"/>
      <c r="D11" s="111"/>
      <c r="E11" s="111"/>
      <c r="F11" s="112" t="s">
        <v>1163</v>
      </c>
      <c r="G11" s="484" t="s">
        <v>1094</v>
      </c>
      <c r="H11" s="111"/>
    </row>
    <row r="12" spans="1:8">
      <c r="A12" s="111" t="s">
        <v>1555</v>
      </c>
      <c r="B12" s="111"/>
      <c r="C12" s="111"/>
      <c r="D12" s="111"/>
      <c r="E12" s="111"/>
      <c r="F12" s="112" t="s">
        <v>1135</v>
      </c>
      <c r="G12" s="486" t="s">
        <v>7128</v>
      </c>
      <c r="H12" s="111"/>
    </row>
    <row r="13" spans="1:8">
      <c r="A13" s="111" t="s">
        <v>1336</v>
      </c>
      <c r="B13" s="111"/>
      <c r="C13" s="111"/>
      <c r="D13" s="111"/>
      <c r="E13" s="111"/>
      <c r="F13" s="111"/>
      <c r="G13" s="488" t="s">
        <v>6182</v>
      </c>
      <c r="H13" s="111"/>
    </row>
    <row r="14" spans="1:8">
      <c r="A14" s="111" t="s">
        <v>1556</v>
      </c>
      <c r="B14" s="111"/>
      <c r="C14" s="111"/>
      <c r="D14" s="111"/>
      <c r="E14" s="111"/>
      <c r="F14" s="111"/>
      <c r="G14" s="483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451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</row>
    <row r="18" spans="1:9">
      <c r="A18" s="485" t="s">
        <v>7129</v>
      </c>
      <c r="B18" s="485" t="s">
        <v>7130</v>
      </c>
      <c r="C18" s="116"/>
      <c r="D18" s="120" t="s">
        <v>1557</v>
      </c>
      <c r="E18" s="120"/>
      <c r="F18" s="111"/>
      <c r="G18" s="111"/>
    </row>
    <row r="19" spans="1:9">
      <c r="A19" s="116"/>
      <c r="B19" s="116"/>
      <c r="C19" s="116"/>
      <c r="D19" s="111" t="s">
        <v>7131</v>
      </c>
      <c r="E19" s="111"/>
      <c r="F19" s="111"/>
      <c r="G19" s="111"/>
      <c r="H19" s="111">
        <v>36.96</v>
      </c>
      <c r="I19" s="111"/>
    </row>
    <row r="20" spans="1:9">
      <c r="A20" s="116"/>
      <c r="B20" s="116"/>
      <c r="C20" s="116"/>
      <c r="D20" s="111" t="s">
        <v>5175</v>
      </c>
      <c r="E20" s="111"/>
      <c r="F20" s="111"/>
      <c r="G20" s="111"/>
      <c r="H20" s="111">
        <v>2.2200000000000002</v>
      </c>
      <c r="I20" s="111"/>
    </row>
    <row r="21" spans="1:9">
      <c r="A21" s="116"/>
      <c r="B21" s="116"/>
      <c r="C21" s="116"/>
      <c r="D21" s="120" t="s">
        <v>5987</v>
      </c>
      <c r="E21" s="120"/>
      <c r="F21" s="111"/>
      <c r="G21" s="111"/>
      <c r="H21" s="111">
        <v>0.02</v>
      </c>
      <c r="I21" s="111"/>
    </row>
    <row r="22" spans="1:9">
      <c r="A22" s="116"/>
      <c r="B22" s="116"/>
      <c r="C22" s="116"/>
      <c r="D22" s="111"/>
      <c r="E22" s="111"/>
      <c r="F22" s="111"/>
      <c r="G22" s="111"/>
      <c r="H22" s="111"/>
      <c r="I22" s="111"/>
    </row>
    <row r="23" spans="1:9">
      <c r="A23" s="116"/>
      <c r="B23" s="120"/>
      <c r="C23" s="120"/>
      <c r="D23" s="111"/>
      <c r="E23" s="111"/>
      <c r="H23" s="111"/>
      <c r="I23" s="111"/>
    </row>
    <row r="24" spans="1:9">
      <c r="A24" s="116"/>
      <c r="B24" s="120"/>
      <c r="C24" s="120"/>
      <c r="D24" s="111"/>
      <c r="E24" s="111"/>
      <c r="F24" s="111"/>
      <c r="G24" s="111"/>
      <c r="I24" s="111"/>
    </row>
    <row r="25" spans="1:9">
      <c r="A25" s="116"/>
      <c r="B25" s="116"/>
      <c r="C25" s="116"/>
      <c r="D25" s="120"/>
      <c r="E25" s="120"/>
      <c r="F25" s="111"/>
      <c r="G25" s="111"/>
      <c r="H25" s="111"/>
      <c r="I25" s="111"/>
    </row>
    <row r="26" spans="1:9">
      <c r="A26" s="116"/>
      <c r="B26" s="120"/>
      <c r="C26" s="120"/>
      <c r="D26" s="111"/>
      <c r="E26" s="111"/>
      <c r="F26" s="111"/>
      <c r="G26" s="111"/>
      <c r="H26" s="111"/>
      <c r="I26" s="111"/>
    </row>
    <row r="27" spans="1:9">
      <c r="A27" s="116"/>
      <c r="B27" s="120"/>
      <c r="C27" s="120"/>
      <c r="D27" s="120"/>
      <c r="E27" s="120"/>
      <c r="F27" s="111"/>
      <c r="G27" s="111"/>
      <c r="H27" s="111"/>
      <c r="I27" s="111"/>
    </row>
    <row r="28" spans="1:9">
      <c r="A28" s="116"/>
      <c r="B28" s="120"/>
      <c r="C28" s="120"/>
      <c r="D28" s="111"/>
      <c r="E28" s="111"/>
      <c r="F28" s="111"/>
      <c r="G28" s="111"/>
      <c r="H28" s="111"/>
      <c r="I28" s="111"/>
    </row>
    <row r="29" spans="1:9">
      <c r="A29" s="116"/>
      <c r="B29" s="120"/>
      <c r="C29" s="120"/>
      <c r="D29" s="111"/>
      <c r="E29" s="111"/>
      <c r="F29" s="111"/>
      <c r="G29" s="111"/>
      <c r="H29" s="111"/>
      <c r="I29" s="111"/>
    </row>
    <row r="30" spans="1:9">
      <c r="A30" s="116"/>
      <c r="B30" s="120"/>
      <c r="C30" s="120"/>
      <c r="D30" s="111"/>
      <c r="E30" s="111"/>
      <c r="F30" s="111"/>
      <c r="G30" s="111"/>
      <c r="H30" s="111"/>
      <c r="I30" s="111"/>
    </row>
    <row r="31" spans="1:9">
      <c r="A31" s="111"/>
      <c r="B31" s="111"/>
      <c r="C31" s="111"/>
      <c r="D31" s="111"/>
      <c r="E31" s="111"/>
      <c r="F31" s="111"/>
      <c r="G31" s="111"/>
      <c r="I31" s="111"/>
    </row>
    <row r="32" spans="1:9" ht="13.5" thickBot="1">
      <c r="A32" s="111"/>
      <c r="B32" s="111"/>
      <c r="C32" s="111"/>
      <c r="D32" s="111"/>
      <c r="E32" s="111"/>
      <c r="F32" s="111"/>
      <c r="G32" s="111"/>
      <c r="H32" s="117">
        <f>SUM(H19:H31)</f>
        <v>39.200000000000003</v>
      </c>
      <c r="I32" s="111"/>
    </row>
    <row r="33" spans="1:9" ht="13.5" thickTop="1">
      <c r="A33" s="111"/>
      <c r="B33" s="111"/>
      <c r="C33" s="111"/>
      <c r="D33" s="111"/>
      <c r="E33" s="111"/>
      <c r="F33" s="111"/>
      <c r="G33" s="111"/>
      <c r="H33" s="111"/>
      <c r="I33" s="111"/>
    </row>
    <row r="34" spans="1:9" ht="20.100000000000001" customHeight="1">
      <c r="A34" s="118" t="s">
        <v>1133</v>
      </c>
      <c r="B34" s="202" t="str">
        <f>IF(OR(H32&gt;1000000,H32&lt;=0),"",IF(H32&lt;1000,"",IF(MOD(H32,1000000)&gt;=100000,INDEX(numbers,TRUNC(MOD(H32,1000000)/100000,0)+1)&amp;" Hundred","")&amp;IF(MOD(H32,100000)&gt;=20000," "&amp;INDEX(tens,TRUNC(MOD(H32,100000)/10000,0)+1)&amp;IF(MOD(MOD(H32,100000),10000)&gt;=1000,"-"&amp;INDEX(numbers,TRUNC(MOD(MOD(H32,100000),10000)/1000,0)+1),""),IF(MOD(H32,100000)&gt;=1000," "&amp;INDEX(numbers,TRUNC(MOD(H32,100000)/1000,0)+1),""))&amp;" Thousand") &amp; IF(H32&lt;1,"Zero Dollars",IF(MOD(H32,1000)&gt;=100," "&amp;INDEX(numbers,TRUNC(MOD(H32,1000)/100,0)+1)&amp;" Hundred","")&amp;IF(MOD(H32,100)&gt;=20," "&amp;INDEX(tens,TRUNC(MOD(H32,100)/10,0)+1)&amp;IF(MOD(MOD(H32,100),10)&gt;=1,"-"&amp;INDEX(numbers,TRUNC(MOD(MOD(H32,100),10),0)+1),""),IF(MOD(H32,100)&gt;=1," "&amp;INDEX(numbers,TRUNC(MOD(H32,100),0)+1),""))&amp;"") &amp; " and " &amp; IF(MOD(H32,1)&lt;0.005,"NO",ROUND(MOD(H32,1)*100,0)) &amp; "/100 -----------")</f>
        <v xml:space="preserve"> Thirty-Nine and 20/100 -----------</v>
      </c>
      <c r="C34" s="202"/>
      <c r="D34" s="119"/>
      <c r="E34" s="119"/>
      <c r="F34" s="119"/>
      <c r="G34" s="119"/>
      <c r="H34" s="119"/>
      <c r="I34" s="111"/>
    </row>
    <row r="35" spans="1:9">
      <c r="A35" s="120" t="s">
        <v>11</v>
      </c>
      <c r="B35" s="111"/>
      <c r="C35" s="111"/>
      <c r="D35" s="111"/>
      <c r="E35" s="111"/>
      <c r="F35" s="111"/>
      <c r="G35" s="111"/>
      <c r="H35" s="111"/>
    </row>
    <row r="36" spans="1:9" ht="25.5">
      <c r="A36" s="111" t="s">
        <v>10</v>
      </c>
      <c r="B36" s="111"/>
      <c r="C36" s="111"/>
      <c r="D36" s="111"/>
      <c r="E36" s="111"/>
      <c r="F36" s="265" t="s">
        <v>2894</v>
      </c>
      <c r="G36" s="266"/>
      <c r="H36" s="267"/>
    </row>
    <row r="37" spans="1:9">
      <c r="A37" s="111"/>
      <c r="B37" s="111"/>
      <c r="C37" s="111"/>
      <c r="D37" s="111"/>
      <c r="E37" s="111"/>
      <c r="F37" s="111"/>
      <c r="G37" s="111"/>
      <c r="H37" s="111"/>
    </row>
    <row r="38" spans="1:9">
      <c r="A38" s="126"/>
      <c r="B38" s="111"/>
      <c r="C38" s="111"/>
      <c r="D38" s="111"/>
      <c r="E38" s="111"/>
    </row>
    <row r="39" spans="1:9">
      <c r="A39" s="111"/>
      <c r="B39" s="111"/>
      <c r="C39" s="111"/>
      <c r="D39" s="121"/>
      <c r="E39" s="121"/>
      <c r="F39" s="111"/>
      <c r="G39" s="111"/>
      <c r="H39" s="111"/>
    </row>
    <row r="40" spans="1:9">
      <c r="A40" s="122"/>
      <c r="B40" s="122"/>
      <c r="C40" s="433"/>
      <c r="D40" s="111"/>
      <c r="E40" s="111"/>
      <c r="F40" s="111"/>
      <c r="G40" s="111"/>
      <c r="H40" s="111"/>
    </row>
    <row r="41" spans="1:9">
      <c r="B41" s="111"/>
      <c r="C41" s="111"/>
      <c r="D41" s="111"/>
      <c r="E41" s="111"/>
      <c r="F41" s="111"/>
      <c r="G41" s="111"/>
      <c r="H41" s="111"/>
    </row>
    <row r="42" spans="1:9">
      <c r="A42" s="123" t="s">
        <v>8</v>
      </c>
      <c r="D42" s="123" t="s">
        <v>8</v>
      </c>
      <c r="E42" s="111"/>
      <c r="F42" s="123" t="s">
        <v>7</v>
      </c>
      <c r="G42" s="111"/>
      <c r="H42" s="124"/>
    </row>
    <row r="43" spans="1:9">
      <c r="A43" s="111"/>
      <c r="B43" s="111"/>
      <c r="C43" s="111"/>
      <c r="D43" s="111"/>
      <c r="E43" s="111"/>
      <c r="F43" s="111"/>
      <c r="G43" s="111"/>
      <c r="H43" s="111"/>
    </row>
    <row r="44" spans="1:9">
      <c r="A44" s="111"/>
      <c r="B44" s="111"/>
      <c r="C44" s="111"/>
      <c r="D44" s="111"/>
      <c r="E44" s="111"/>
      <c r="F44" s="111"/>
      <c r="G44" s="111"/>
      <c r="H44" s="111"/>
    </row>
    <row r="45" spans="1:9">
      <c r="A45" s="111"/>
      <c r="B45" s="111"/>
      <c r="C45" s="111"/>
      <c r="D45" s="111"/>
      <c r="E45" s="111"/>
      <c r="F45" s="111"/>
      <c r="G45" s="111"/>
      <c r="H45" s="111"/>
    </row>
    <row r="46" spans="1:9">
      <c r="A46" s="122"/>
      <c r="B46" s="122"/>
      <c r="C46" s="433"/>
      <c r="D46" s="122"/>
      <c r="E46" s="111"/>
      <c r="F46" s="122"/>
      <c r="G46" s="122"/>
      <c r="H46" s="122"/>
    </row>
    <row r="47" spans="1:9" s="3" customFormat="1" ht="17.100000000000001" customHeight="1">
      <c r="A47" s="151" t="s">
        <v>2948</v>
      </c>
      <c r="B47" s="125"/>
      <c r="C47" s="125"/>
      <c r="D47" s="151" t="s">
        <v>103</v>
      </c>
      <c r="E47" s="126"/>
      <c r="F47" s="126" t="s">
        <v>3</v>
      </c>
      <c r="G47" s="126"/>
      <c r="H47" s="126"/>
    </row>
    <row r="48" spans="1:9">
      <c r="A48" s="111"/>
      <c r="B48" s="111"/>
      <c r="C48" s="111"/>
      <c r="D48" s="111"/>
      <c r="E48" s="111"/>
      <c r="F48" s="111" t="s">
        <v>2</v>
      </c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11"/>
      <c r="B50" s="111"/>
      <c r="C50" s="111"/>
      <c r="D50" s="111"/>
      <c r="E50" s="111"/>
      <c r="F50" s="2" t="s">
        <v>1</v>
      </c>
      <c r="G50" s="111"/>
      <c r="H50" s="111"/>
    </row>
    <row r="51" spans="1:8">
      <c r="A51" s="111"/>
      <c r="B51" s="111"/>
      <c r="C51" s="111"/>
      <c r="D51" s="111"/>
      <c r="E51" s="111"/>
      <c r="F51" s="2" t="s">
        <v>0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5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1-000000000000}">
  <sheetPr codeName="Sheet115">
    <pageSetUpPr fitToPage="1"/>
  </sheetPr>
  <dimension ref="A1:F51"/>
  <sheetViews>
    <sheetView topLeftCell="A4"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1070</v>
      </c>
    </row>
    <row r="10" spans="1:6">
      <c r="A10" s="1" t="s">
        <v>1069</v>
      </c>
      <c r="D10" s="21" t="s">
        <v>21</v>
      </c>
      <c r="E10" s="21" t="s">
        <v>1068</v>
      </c>
    </row>
    <row r="11" spans="1:6">
      <c r="A11" s="1" t="s">
        <v>1067</v>
      </c>
      <c r="D11" s="21" t="s">
        <v>19</v>
      </c>
      <c r="E11" s="21" t="s">
        <v>18</v>
      </c>
    </row>
    <row r="12" spans="1:6">
      <c r="A12" s="1" t="s">
        <v>1066</v>
      </c>
      <c r="D12" s="21" t="s">
        <v>17</v>
      </c>
      <c r="E12" s="21" t="s">
        <v>1065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20" spans="1:6">
      <c r="C20" s="14" t="s">
        <v>1064</v>
      </c>
    </row>
    <row r="21" spans="1:6">
      <c r="C21" s="14" t="s">
        <v>1063</v>
      </c>
    </row>
    <row r="22" spans="1:6">
      <c r="C22" s="13"/>
    </row>
    <row r="23" spans="1:6">
      <c r="C23" s="1" t="s">
        <v>1062</v>
      </c>
      <c r="F23" s="1">
        <v>1200</v>
      </c>
    </row>
    <row r="25" spans="1:6">
      <c r="A25" s="8"/>
      <c r="C25" s="13"/>
    </row>
    <row r="26" spans="1:6">
      <c r="C26" s="13"/>
    </row>
    <row r="27" spans="1:6">
      <c r="B27" s="8"/>
    </row>
    <row r="28" spans="1:6">
      <c r="B28" s="8"/>
    </row>
    <row r="29" spans="1:6">
      <c r="B29" s="8"/>
    </row>
    <row r="30" spans="1:6">
      <c r="B30" s="8"/>
    </row>
    <row r="33" spans="1:6" ht="13.5" thickBot="1">
      <c r="F33" s="33">
        <f>SUM(F20:F32)</f>
        <v>1200</v>
      </c>
    </row>
    <row r="34" spans="1:6" ht="20.100000000000001" customHeight="1" thickTop="1">
      <c r="A34" s="11" t="s">
        <v>845</v>
      </c>
      <c r="B34" s="10"/>
      <c r="C34" s="9"/>
      <c r="D34" s="9"/>
      <c r="E34" s="9"/>
      <c r="F34" s="9"/>
    </row>
    <row r="35" spans="1:6">
      <c r="A35" s="8"/>
    </row>
    <row r="36" spans="1:6">
      <c r="A36" s="1" t="s">
        <v>10</v>
      </c>
    </row>
    <row r="39" spans="1:6" ht="25.5">
      <c r="A39" s="3" t="s">
        <v>9</v>
      </c>
      <c r="C39" s="7"/>
      <c r="D39" s="265" t="s">
        <v>2894</v>
      </c>
      <c r="E39" s="266"/>
      <c r="F39" s="267"/>
    </row>
    <row r="42" spans="1:6">
      <c r="A42" s="6" t="s">
        <v>8</v>
      </c>
      <c r="D42" s="6" t="s">
        <v>7</v>
      </c>
      <c r="F42" s="5"/>
    </row>
    <row r="46" spans="1:6">
      <c r="A46" s="1" t="s">
        <v>6</v>
      </c>
      <c r="D46" s="1" t="s">
        <v>5</v>
      </c>
    </row>
    <row r="47" spans="1:6" s="3" customFormat="1" ht="17.100000000000001" customHeight="1">
      <c r="A47" s="4" t="s">
        <v>4</v>
      </c>
      <c r="B47" s="4"/>
      <c r="D47" s="3" t="s">
        <v>3</v>
      </c>
    </row>
    <row r="48" spans="1:6">
      <c r="D48" s="1" t="s">
        <v>2</v>
      </c>
    </row>
    <row r="50" spans="1:4">
      <c r="A50" s="273" t="s">
        <v>2948</v>
      </c>
      <c r="D50" s="84" t="s">
        <v>1</v>
      </c>
    </row>
    <row r="51" spans="1:4">
      <c r="D51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1-000000000000}">
  <sheetPr codeName="Sheet116">
    <pageSetUpPr fitToPage="1"/>
  </sheetPr>
  <dimension ref="A1:F51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1080</v>
      </c>
    </row>
    <row r="10" spans="1:6">
      <c r="A10" s="13" t="s">
        <v>1079</v>
      </c>
      <c r="D10" s="21" t="s">
        <v>21</v>
      </c>
      <c r="E10" s="21" t="s">
        <v>1068</v>
      </c>
    </row>
    <row r="11" spans="1:6">
      <c r="A11" s="13" t="s">
        <v>1078</v>
      </c>
      <c r="D11" s="21" t="s">
        <v>19</v>
      </c>
      <c r="E11" s="21" t="s">
        <v>18</v>
      </c>
    </row>
    <row r="12" spans="1:6">
      <c r="A12" s="13" t="s">
        <v>1077</v>
      </c>
      <c r="D12" s="21" t="s">
        <v>17</v>
      </c>
      <c r="E12" s="20" t="s">
        <v>1076</v>
      </c>
    </row>
    <row r="13" spans="1:6">
      <c r="A13" s="13" t="s">
        <v>1075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20" spans="1:6">
      <c r="C20" s="14" t="s">
        <v>1074</v>
      </c>
    </row>
    <row r="21" spans="1:6">
      <c r="C21" s="14" t="s">
        <v>1073</v>
      </c>
    </row>
    <row r="22" spans="1:6">
      <c r="C22" s="13"/>
    </row>
    <row r="23" spans="1:6">
      <c r="C23" s="13" t="s">
        <v>1072</v>
      </c>
      <c r="F23" s="1">
        <v>9600</v>
      </c>
    </row>
    <row r="25" spans="1:6">
      <c r="A25" s="8"/>
      <c r="C25" s="13"/>
    </row>
    <row r="26" spans="1:6">
      <c r="C26" s="13"/>
    </row>
    <row r="27" spans="1:6">
      <c r="B27" s="8"/>
    </row>
    <row r="28" spans="1:6">
      <c r="B28" s="8"/>
    </row>
    <row r="29" spans="1:6">
      <c r="B29" s="8"/>
    </row>
    <row r="30" spans="1:6">
      <c r="B30" s="8"/>
    </row>
    <row r="33" spans="1:6" ht="13.5" thickBot="1">
      <c r="F33" s="33">
        <f>SUM(F20:F32)</f>
        <v>9600</v>
      </c>
    </row>
    <row r="34" spans="1:6" ht="20.100000000000001" customHeight="1" thickTop="1">
      <c r="A34" s="11" t="s">
        <v>1071</v>
      </c>
      <c r="B34" s="10"/>
      <c r="C34" s="9"/>
      <c r="D34" s="9"/>
      <c r="E34" s="9"/>
      <c r="F34" s="9"/>
    </row>
    <row r="35" spans="1:6">
      <c r="A35" s="8"/>
    </row>
    <row r="36" spans="1:6">
      <c r="A36" s="1" t="s">
        <v>10</v>
      </c>
    </row>
    <row r="39" spans="1:6" ht="25.5">
      <c r="A39" s="3" t="s">
        <v>9</v>
      </c>
      <c r="C39" s="7"/>
      <c r="D39" s="265" t="s">
        <v>2894</v>
      </c>
      <c r="E39" s="266"/>
      <c r="F39" s="267"/>
    </row>
    <row r="42" spans="1:6">
      <c r="A42" s="6" t="s">
        <v>8</v>
      </c>
      <c r="D42" s="6" t="s">
        <v>7</v>
      </c>
      <c r="F42" s="5"/>
    </row>
    <row r="46" spans="1:6">
      <c r="A46" s="1" t="s">
        <v>6</v>
      </c>
      <c r="D46" s="1" t="s">
        <v>5</v>
      </c>
    </row>
    <row r="47" spans="1:6" s="3" customFormat="1" ht="17.100000000000001" customHeight="1">
      <c r="A47" s="4" t="s">
        <v>4</v>
      </c>
      <c r="B47" s="4"/>
      <c r="D47" s="3" t="s">
        <v>3</v>
      </c>
    </row>
    <row r="48" spans="1:6">
      <c r="D48" s="1" t="s">
        <v>2</v>
      </c>
    </row>
    <row r="50" spans="1:4">
      <c r="A50" s="273" t="s">
        <v>2948</v>
      </c>
      <c r="D50" s="84" t="s">
        <v>1</v>
      </c>
    </row>
    <row r="51" spans="1:4">
      <c r="D51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1-000000000000}">
  <sheetPr codeName="Sheet123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787</v>
      </c>
    </row>
    <row r="10" spans="1:6">
      <c r="A10" s="1" t="s">
        <v>786</v>
      </c>
      <c r="D10" s="21" t="s">
        <v>21</v>
      </c>
      <c r="E10" s="21" t="s">
        <v>785</v>
      </c>
    </row>
    <row r="11" spans="1:6">
      <c r="A11" s="1" t="s">
        <v>784</v>
      </c>
      <c r="D11" s="21" t="s">
        <v>19</v>
      </c>
      <c r="E11" s="21" t="s">
        <v>18</v>
      </c>
    </row>
    <row r="12" spans="1:6">
      <c r="A12" s="1" t="s">
        <v>783</v>
      </c>
      <c r="D12" s="21" t="s">
        <v>17</v>
      </c>
      <c r="E12" s="21" t="s">
        <v>782</v>
      </c>
    </row>
    <row r="13" spans="1:6">
      <c r="A13" s="1" t="s">
        <v>339</v>
      </c>
    </row>
    <row r="14" spans="1:6">
      <c r="A14" s="1" t="s">
        <v>87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1:6">
      <c r="C19" s="14" t="s">
        <v>781</v>
      </c>
    </row>
    <row r="20" spans="1:6">
      <c r="C20" s="44" t="s">
        <v>780</v>
      </c>
    </row>
    <row r="22" spans="1:6">
      <c r="B22" s="8"/>
    </row>
    <row r="23" spans="1:6">
      <c r="A23" s="1" t="s">
        <v>779</v>
      </c>
      <c r="C23" s="1" t="s">
        <v>607</v>
      </c>
      <c r="F23" s="1">
        <v>28681.25</v>
      </c>
    </row>
    <row r="24" spans="1:6">
      <c r="B24" s="8"/>
    </row>
    <row r="25" spans="1:6">
      <c r="B25" s="8"/>
    </row>
    <row r="26" spans="1:6">
      <c r="C26" s="8"/>
    </row>
    <row r="27" spans="1:6">
      <c r="B27" s="8"/>
    </row>
    <row r="28" spans="1:6">
      <c r="B28" s="8"/>
    </row>
    <row r="33" spans="1:6" ht="13.5" thickBot="1">
      <c r="F33" s="12">
        <f>SUM(F20:F32)</f>
        <v>28681.25</v>
      </c>
    </row>
    <row r="34" spans="1:6" ht="13.5" thickTop="1"/>
    <row r="35" spans="1:6" ht="20.100000000000001" customHeight="1">
      <c r="A35" s="10" t="s">
        <v>778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1-000000000000}">
  <sheetPr codeName="Sheet54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952</v>
      </c>
    </row>
    <row r="10" spans="1:6">
      <c r="A10" s="1" t="s">
        <v>951</v>
      </c>
      <c r="D10" s="21" t="s">
        <v>21</v>
      </c>
      <c r="E10" s="21" t="s">
        <v>54</v>
      </c>
    </row>
    <row r="11" spans="1:6">
      <c r="A11" s="1" t="s">
        <v>950</v>
      </c>
      <c r="D11" s="21" t="s">
        <v>19</v>
      </c>
      <c r="E11" s="21" t="s">
        <v>18</v>
      </c>
    </row>
    <row r="12" spans="1:6">
      <c r="A12" s="1" t="s">
        <v>949</v>
      </c>
      <c r="D12" s="21" t="s">
        <v>17</v>
      </c>
      <c r="E12" s="20" t="s">
        <v>948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2:6">
      <c r="C19" s="14" t="s">
        <v>947</v>
      </c>
    </row>
    <row r="20" spans="2:6">
      <c r="C20" s="14" t="s">
        <v>946</v>
      </c>
    </row>
    <row r="21" spans="2:6">
      <c r="C21" s="34"/>
    </row>
    <row r="23" spans="2:6">
      <c r="C23" s="1" t="s">
        <v>244</v>
      </c>
      <c r="F23" s="1">
        <v>5000</v>
      </c>
    </row>
    <row r="25" spans="2:6">
      <c r="C25" s="13"/>
      <c r="D25" s="13"/>
      <c r="E25" s="13"/>
      <c r="F25" s="13"/>
    </row>
    <row r="26" spans="2:6">
      <c r="C26" s="13"/>
      <c r="D26" s="13"/>
      <c r="E26" s="13"/>
      <c r="F26" s="13"/>
    </row>
    <row r="27" spans="2:6">
      <c r="C27" s="34"/>
      <c r="D27" s="13"/>
      <c r="E27" s="13"/>
      <c r="F27" s="47"/>
    </row>
    <row r="28" spans="2:6">
      <c r="C28" s="13"/>
      <c r="D28" s="13"/>
      <c r="E28" s="13"/>
      <c r="F28" s="13"/>
    </row>
    <row r="29" spans="2:6">
      <c r="B29" s="8"/>
      <c r="C29" s="13"/>
      <c r="D29" s="13"/>
      <c r="E29" s="13"/>
      <c r="F29" s="13"/>
    </row>
    <row r="30" spans="2:6">
      <c r="B30" s="8"/>
    </row>
    <row r="33" spans="1:6" ht="13.5" thickBot="1">
      <c r="F33" s="33">
        <f>SUM(F20:F32)</f>
        <v>5000</v>
      </c>
    </row>
    <row r="34" spans="1:6" ht="13.5" thickTop="1"/>
    <row r="35" spans="1:6" ht="20.100000000000001" customHeight="1">
      <c r="A35" s="10" t="s">
        <v>59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5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1144B-9D5A-4B21-9C7C-E262F949044F}">
  <sheetPr codeName="Sheet551">
    <pageSetUpPr fitToPage="1"/>
  </sheetPr>
  <dimension ref="A1:O66"/>
  <sheetViews>
    <sheetView zoomScaleNormal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4" width="9.140625" style="1"/>
    <col min="15" max="15" width="10.5703125" style="1" bestFit="1" customWidth="1"/>
    <col min="16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5">
      <c r="A9" s="111"/>
      <c r="B9" s="111"/>
      <c r="C9" s="111"/>
      <c r="D9" s="111"/>
      <c r="E9" s="111"/>
      <c r="F9" s="112" t="s">
        <v>22</v>
      </c>
      <c r="G9" s="126" t="s">
        <v>5694</v>
      </c>
      <c r="H9" s="111"/>
      <c r="I9" s="1" t="s">
        <v>5694</v>
      </c>
      <c r="J9" s="1">
        <v>43563</v>
      </c>
      <c r="L9" s="1" t="s">
        <v>1270</v>
      </c>
    </row>
    <row r="10" spans="1:15">
      <c r="A10" s="111" t="s">
        <v>5695</v>
      </c>
      <c r="B10" s="111"/>
      <c r="C10" s="111"/>
      <c r="D10" s="111"/>
      <c r="E10" s="111"/>
      <c r="F10" s="112" t="s">
        <v>21</v>
      </c>
      <c r="G10" s="160" t="s">
        <v>5630</v>
      </c>
      <c r="H10" s="111"/>
      <c r="J10" s="21"/>
      <c r="K10" s="111" t="s">
        <v>5345</v>
      </c>
      <c r="L10" s="111"/>
      <c r="M10" s="111"/>
    </row>
    <row r="11" spans="1:15">
      <c r="A11" s="111" t="s">
        <v>5696</v>
      </c>
      <c r="B11" s="111"/>
      <c r="C11" s="111"/>
      <c r="D11" s="111"/>
      <c r="E11" s="111"/>
      <c r="F11" s="112" t="s">
        <v>19</v>
      </c>
      <c r="G11" s="160" t="s">
        <v>1094</v>
      </c>
      <c r="H11" s="111"/>
      <c r="J11" s="336"/>
      <c r="K11" s="111" t="s">
        <v>5346</v>
      </c>
    </row>
    <row r="12" spans="1:15">
      <c r="A12" s="111" t="s">
        <v>5697</v>
      </c>
      <c r="B12" s="111"/>
      <c r="C12" s="111"/>
      <c r="D12" s="111"/>
      <c r="E12" s="111"/>
      <c r="F12" s="112" t="s">
        <v>17</v>
      </c>
      <c r="G12" s="160" t="s">
        <v>1270</v>
      </c>
      <c r="H12" s="111"/>
      <c r="K12" s="111"/>
    </row>
    <row r="13" spans="1:15">
      <c r="A13" s="111" t="s">
        <v>5698</v>
      </c>
      <c r="B13" s="111"/>
      <c r="C13" s="111"/>
      <c r="D13" s="111"/>
      <c r="E13" s="111"/>
      <c r="F13" s="111"/>
      <c r="G13" s="131"/>
      <c r="H13" s="111"/>
      <c r="K13" s="111" t="s">
        <v>1697</v>
      </c>
    </row>
    <row r="14" spans="1:15">
      <c r="A14" s="111"/>
      <c r="B14" s="111"/>
      <c r="C14" s="111"/>
      <c r="D14" s="111"/>
      <c r="E14" s="111"/>
      <c r="F14" s="111"/>
      <c r="G14" s="131"/>
      <c r="H14" s="111"/>
    </row>
    <row r="15" spans="1:15">
      <c r="A15" s="111"/>
      <c r="B15" s="111"/>
      <c r="C15" s="111"/>
      <c r="D15" s="111"/>
      <c r="E15" s="111"/>
      <c r="F15" s="111"/>
      <c r="G15" s="111"/>
      <c r="H15" s="111"/>
      <c r="K15" s="111" t="s">
        <v>5347</v>
      </c>
      <c r="L15" s="111"/>
      <c r="M15" s="111"/>
      <c r="N15" s="111"/>
      <c r="O15" s="111">
        <f>4050*2.9926996</f>
        <v>12120.43338</v>
      </c>
    </row>
    <row r="16" spans="1:15" s="15" customFormat="1" ht="20.100000000000001" customHeight="1">
      <c r="A16" s="18" t="s">
        <v>1140</v>
      </c>
      <c r="B16" s="444" t="s">
        <v>1098</v>
      </c>
      <c r="C16" s="444"/>
      <c r="D16" s="19" t="s">
        <v>14</v>
      </c>
      <c r="E16" s="19"/>
      <c r="F16" s="18"/>
      <c r="G16" s="17"/>
      <c r="H16" s="16" t="s">
        <v>13</v>
      </c>
      <c r="K16" s="111"/>
      <c r="L16" s="1"/>
      <c r="M16" s="1"/>
      <c r="N16" s="1"/>
      <c r="O16" s="111"/>
    </row>
    <row r="17" spans="1:15">
      <c r="A17" s="111"/>
      <c r="B17" s="111"/>
      <c r="C17" s="111"/>
      <c r="D17" s="111"/>
      <c r="E17" s="111"/>
      <c r="F17" s="111"/>
      <c r="G17" s="111"/>
      <c r="H17" s="111"/>
      <c r="K17" s="111" t="s">
        <v>5348</v>
      </c>
      <c r="O17" s="111"/>
    </row>
    <row r="18" spans="1:15">
      <c r="A18" s="111"/>
      <c r="B18" s="111"/>
      <c r="C18" s="111"/>
      <c r="D18" s="2" t="s">
        <v>3657</v>
      </c>
      <c r="E18" s="2"/>
      <c r="F18" s="111"/>
      <c r="G18" s="111"/>
      <c r="H18" s="111"/>
    </row>
    <row r="19" spans="1:15">
      <c r="A19" s="111"/>
      <c r="B19" s="111"/>
      <c r="C19" s="111"/>
      <c r="D19" s="2"/>
      <c r="E19" s="2"/>
      <c r="F19" s="111"/>
      <c r="G19" s="111"/>
      <c r="H19" s="111"/>
      <c r="K19" s="111" t="s">
        <v>5349</v>
      </c>
      <c r="L19" s="111"/>
      <c r="M19" s="111"/>
      <c r="N19" s="111"/>
      <c r="O19" s="111">
        <f>9300*2.9926996</f>
        <v>27832.10628</v>
      </c>
    </row>
    <row r="20" spans="1:15">
      <c r="A20" s="116" t="s">
        <v>5699</v>
      </c>
      <c r="B20" s="116" t="s">
        <v>5700</v>
      </c>
      <c r="C20" s="116"/>
      <c r="D20" s="111" t="s">
        <v>5701</v>
      </c>
      <c r="E20" s="111"/>
      <c r="F20" s="111"/>
      <c r="G20" s="111"/>
      <c r="H20" s="111">
        <f>9300*3.0722</f>
        <v>28571.46</v>
      </c>
      <c r="K20" s="111"/>
      <c r="L20" s="111"/>
      <c r="M20" s="111"/>
      <c r="N20" s="111"/>
      <c r="O20" s="111"/>
    </row>
    <row r="21" spans="1:15">
      <c r="A21" s="111"/>
      <c r="B21" s="120"/>
      <c r="C21" s="120"/>
      <c r="D21" s="111" t="s">
        <v>5702</v>
      </c>
      <c r="H21" s="111"/>
      <c r="K21" s="111" t="s">
        <v>5350</v>
      </c>
      <c r="L21" s="111"/>
      <c r="O21" s="111"/>
    </row>
    <row r="22" spans="1:15">
      <c r="A22" s="116"/>
      <c r="B22" s="116"/>
      <c r="C22" s="116"/>
      <c r="D22" s="167" t="s">
        <v>4504</v>
      </c>
      <c r="H22" s="111"/>
    </row>
    <row r="23" spans="1:15">
      <c r="K23" s="111" t="s">
        <v>2831</v>
      </c>
      <c r="O23" s="111">
        <v>10</v>
      </c>
    </row>
    <row r="24" spans="1:15">
      <c r="A24" s="116" t="s">
        <v>5637</v>
      </c>
      <c r="B24" s="116" t="s">
        <v>5703</v>
      </c>
      <c r="C24" s="120"/>
      <c r="D24" s="111" t="s">
        <v>5704</v>
      </c>
      <c r="H24" s="111">
        <f>18200*3.0722</f>
        <v>55914.04</v>
      </c>
      <c r="K24" s="111"/>
      <c r="L24" s="111"/>
    </row>
    <row r="25" spans="1:15">
      <c r="A25" s="116"/>
      <c r="B25" s="116"/>
      <c r="C25" s="116"/>
      <c r="D25" s="111" t="s">
        <v>5705</v>
      </c>
      <c r="E25" s="111"/>
      <c r="F25" s="111"/>
      <c r="G25" s="111"/>
      <c r="H25" s="111"/>
      <c r="K25" s="111" t="s">
        <v>5351</v>
      </c>
      <c r="L25" s="111"/>
      <c r="M25" s="111"/>
      <c r="N25" s="111"/>
      <c r="O25" s="111">
        <f>9300*3.0413</f>
        <v>28284.09</v>
      </c>
    </row>
    <row r="26" spans="1:15">
      <c r="A26" s="111"/>
      <c r="B26" s="111"/>
      <c r="C26" s="111"/>
      <c r="D26" s="111"/>
      <c r="E26" s="111"/>
      <c r="F26" s="111"/>
      <c r="G26" s="111"/>
      <c r="H26" s="111"/>
      <c r="K26" s="111" t="s">
        <v>5352</v>
      </c>
      <c r="O26" s="111"/>
    </row>
    <row r="27" spans="1:15">
      <c r="A27" s="116" t="s">
        <v>5637</v>
      </c>
      <c r="B27" s="116" t="s">
        <v>5706</v>
      </c>
      <c r="C27" s="120"/>
      <c r="D27" s="111" t="s">
        <v>5707</v>
      </c>
      <c r="E27" s="111"/>
      <c r="H27" s="111">
        <f>3000*3.0722</f>
        <v>9216.6</v>
      </c>
      <c r="K27" s="111"/>
      <c r="O27" s="111"/>
    </row>
    <row r="28" spans="1:15">
      <c r="A28" s="111"/>
      <c r="B28" s="111"/>
      <c r="C28" s="111"/>
      <c r="D28" s="111" t="s">
        <v>5708</v>
      </c>
      <c r="K28" s="111" t="s">
        <v>5353</v>
      </c>
      <c r="O28" s="111">
        <f>4050*3.0413</f>
        <v>12317.265000000001</v>
      </c>
    </row>
    <row r="29" spans="1:15">
      <c r="A29" s="111"/>
      <c r="B29" s="111"/>
      <c r="C29" s="111"/>
      <c r="D29" s="111"/>
      <c r="H29" s="111"/>
      <c r="K29" s="111" t="s">
        <v>5354</v>
      </c>
      <c r="L29" s="111"/>
      <c r="M29" s="111"/>
      <c r="N29" s="111"/>
      <c r="O29" s="111"/>
    </row>
    <row r="30" spans="1:15">
      <c r="A30" s="111"/>
      <c r="B30" s="120"/>
      <c r="C30" s="120"/>
      <c r="D30" s="111" t="s">
        <v>1697</v>
      </c>
      <c r="H30" s="111">
        <v>10</v>
      </c>
      <c r="K30" s="111"/>
      <c r="L30" s="111"/>
      <c r="M30" s="111"/>
      <c r="N30" s="111"/>
      <c r="O30" s="111"/>
    </row>
    <row r="31" spans="1:15">
      <c r="A31" s="111"/>
      <c r="B31" s="111"/>
      <c r="C31" s="111"/>
    </row>
    <row r="32" spans="1:15">
      <c r="A32" s="111"/>
      <c r="B32" s="111"/>
      <c r="C32" s="111"/>
    </row>
    <row r="33" spans="1:8">
      <c r="A33" s="111"/>
      <c r="B33" s="111"/>
      <c r="C33" s="111"/>
    </row>
    <row r="34" spans="1:8">
      <c r="A34" s="111"/>
      <c r="B34" s="111"/>
      <c r="C34" s="111"/>
    </row>
    <row r="35" spans="1:8">
      <c r="A35" s="111"/>
      <c r="B35" s="111"/>
      <c r="C35" s="111"/>
    </row>
    <row r="36" spans="1:8">
      <c r="A36" s="111"/>
      <c r="B36" s="111"/>
      <c r="C36" s="111"/>
      <c r="D36" s="111"/>
      <c r="E36" s="111"/>
      <c r="F36" s="111"/>
      <c r="G36" s="111"/>
      <c r="H36" s="111"/>
    </row>
    <row r="37" spans="1:8" ht="13.5" thickBot="1">
      <c r="A37" s="111"/>
      <c r="B37" s="111"/>
      <c r="C37" s="111"/>
      <c r="D37" s="111"/>
      <c r="E37" s="111"/>
      <c r="F37" s="111"/>
      <c r="G37" s="111"/>
      <c r="H37" s="117">
        <f>SUM(H18:H31)</f>
        <v>93712.1</v>
      </c>
    </row>
    <row r="38" spans="1:8" ht="13.5" thickTop="1">
      <c r="A38" s="111"/>
      <c r="B38" s="111"/>
      <c r="C38" s="111"/>
      <c r="D38" s="111"/>
      <c r="E38" s="111"/>
    </row>
    <row r="39" spans="1:8" ht="20.100000000000001" customHeight="1">
      <c r="A39" s="118" t="s">
        <v>204</v>
      </c>
      <c r="B39" s="204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Ninety-Three Thousand Seven Hundred Twelve and 10/100 -----------</v>
      </c>
      <c r="C39" s="204"/>
      <c r="D39" s="119"/>
      <c r="E39" s="119"/>
      <c r="F39" s="119"/>
      <c r="G39" s="119"/>
      <c r="H39" s="119"/>
    </row>
    <row r="40" spans="1:8" ht="20.100000000000001" customHeight="1">
      <c r="A40" s="160"/>
      <c r="B40" s="145"/>
      <c r="C40" s="145"/>
      <c r="D40" s="126"/>
      <c r="E40" s="126"/>
      <c r="F40" s="126"/>
      <c r="G40" s="126"/>
      <c r="H40" s="126"/>
    </row>
    <row r="41" spans="1:8" ht="25.5">
      <c r="A41" s="120" t="s">
        <v>3060</v>
      </c>
      <c r="B41" s="111"/>
      <c r="C41" s="111"/>
      <c r="D41" s="111"/>
      <c r="E41" s="111"/>
      <c r="F41" s="265" t="s">
        <v>2894</v>
      </c>
      <c r="G41" s="266"/>
      <c r="H41" s="267"/>
    </row>
    <row r="42" spans="1:8">
      <c r="A42" s="111"/>
      <c r="B42" s="111"/>
      <c r="C42" s="111"/>
      <c r="D42" s="111"/>
      <c r="E42" s="111"/>
      <c r="F42" s="310"/>
      <c r="G42" s="311"/>
      <c r="H42" s="311"/>
    </row>
    <row r="43" spans="1:8">
      <c r="B43" s="111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2"/>
      <c r="B45" s="122"/>
      <c r="C45" s="111"/>
      <c r="D45" s="111"/>
      <c r="E45" s="111"/>
      <c r="F45" s="111"/>
      <c r="G45" s="111"/>
      <c r="H45" s="111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23" t="s">
        <v>8</v>
      </c>
      <c r="B47" s="111"/>
      <c r="C47" s="111"/>
      <c r="D47" s="123" t="s">
        <v>8</v>
      </c>
      <c r="E47" s="111"/>
      <c r="F47" s="123" t="s">
        <v>7</v>
      </c>
      <c r="G47" s="111"/>
      <c r="H47" s="124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11"/>
      <c r="B50" s="111"/>
      <c r="C50" s="111"/>
      <c r="D50" s="111"/>
      <c r="E50" s="111"/>
      <c r="F50" s="111"/>
      <c r="G50" s="111"/>
      <c r="H50" s="111"/>
    </row>
    <row r="51" spans="1:8">
      <c r="A51" s="122"/>
      <c r="B51" s="122"/>
      <c r="C51" s="111"/>
      <c r="D51" s="122"/>
      <c r="E51" s="111"/>
      <c r="F51" s="122"/>
      <c r="G51" s="122"/>
      <c r="H51" s="122"/>
    </row>
    <row r="52" spans="1:8" s="3" customFormat="1" ht="17.100000000000001" customHeight="1">
      <c r="A52" s="151" t="s">
        <v>2948</v>
      </c>
      <c r="B52" s="125"/>
      <c r="C52" s="125"/>
      <c r="D52" s="151" t="s">
        <v>103</v>
      </c>
      <c r="E52" s="126"/>
      <c r="F52" s="126" t="s">
        <v>3</v>
      </c>
      <c r="G52" s="126"/>
      <c r="H52" s="126"/>
    </row>
    <row r="53" spans="1:8">
      <c r="A53" s="111"/>
      <c r="B53" s="111"/>
      <c r="C53" s="111"/>
      <c r="D53" s="111"/>
      <c r="E53" s="111"/>
      <c r="F53" s="111" t="s">
        <v>2</v>
      </c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  <row r="55" spans="1:8">
      <c r="A55" s="111"/>
      <c r="B55" s="111"/>
      <c r="C55" s="111"/>
      <c r="D55" s="111"/>
      <c r="E55" s="111"/>
      <c r="F55" s="2" t="s">
        <v>1</v>
      </c>
      <c r="G55" s="111"/>
      <c r="H55" s="111"/>
    </row>
    <row r="56" spans="1:8">
      <c r="A56" s="111"/>
      <c r="B56" s="111"/>
      <c r="C56" s="111"/>
      <c r="D56" s="111"/>
      <c r="E56" s="111"/>
      <c r="F56" s="2" t="s">
        <v>0</v>
      </c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  <row r="65" spans="1:8">
      <c r="A65" s="111"/>
      <c r="B65" s="111"/>
      <c r="C65" s="111"/>
      <c r="D65" s="111"/>
      <c r="E65" s="111"/>
      <c r="F65" s="111"/>
      <c r="G65" s="111"/>
      <c r="H65" s="111"/>
    </row>
    <row r="66" spans="1:8">
      <c r="A66" s="111"/>
      <c r="B66" s="111"/>
      <c r="C66" s="111"/>
      <c r="D66" s="111"/>
      <c r="E66" s="111"/>
      <c r="F66" s="111"/>
      <c r="G66" s="111"/>
      <c r="H6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5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4E91B-FD9D-4228-A09F-BD040459563A}">
  <sheetPr codeName="Sheet553">
    <pageSetUpPr fitToPage="1"/>
  </sheetPr>
  <dimension ref="A1:P60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5" style="227" customWidth="1"/>
    <col min="3" max="3" width="1.140625" style="227" customWidth="1"/>
    <col min="4" max="4" width="19.85546875" style="227" customWidth="1"/>
    <col min="5" max="5" width="1.28515625" style="227" customWidth="1"/>
    <col min="6" max="6" width="16.42578125" style="227" customWidth="1"/>
    <col min="7" max="7" width="8.140625" style="227" customWidth="1"/>
    <col min="8" max="8" width="13.28515625" style="227" customWidth="1"/>
    <col min="9" max="9" width="16.140625" style="209" customWidth="1"/>
    <col min="10" max="16384" width="9.140625" style="209"/>
  </cols>
  <sheetData>
    <row r="1" spans="1:16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6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6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6" ht="12.75" customHeight="1">
      <c r="A4" s="532" t="s">
        <v>1684</v>
      </c>
      <c r="B4" s="532"/>
      <c r="C4" s="532"/>
      <c r="D4" s="532"/>
      <c r="E4" s="532"/>
      <c r="F4" s="532"/>
      <c r="G4" s="532"/>
      <c r="H4" s="532"/>
      <c r="J4" s="209" t="s">
        <v>5148</v>
      </c>
      <c r="K4" s="209">
        <v>43373</v>
      </c>
      <c r="M4" s="209" t="s">
        <v>5149</v>
      </c>
    </row>
    <row r="5" spans="1:16" ht="12.75" customHeight="1">
      <c r="A5" s="131"/>
      <c r="B5" s="131"/>
      <c r="C5" s="131"/>
      <c r="D5" s="131"/>
      <c r="E5" s="131"/>
      <c r="F5" s="131"/>
      <c r="G5" s="131"/>
      <c r="H5" s="131"/>
    </row>
    <row r="6" spans="1:16" ht="12.75" customHeight="1">
      <c r="A6" s="131"/>
      <c r="B6" s="131"/>
      <c r="C6" s="131"/>
      <c r="D6" s="131"/>
      <c r="E6" s="131"/>
      <c r="F6" s="131"/>
      <c r="G6" s="131"/>
      <c r="H6" s="131"/>
      <c r="J6" s="209" t="s">
        <v>5288</v>
      </c>
      <c r="K6" s="209">
        <v>43436</v>
      </c>
      <c r="M6" s="209" t="s">
        <v>5289</v>
      </c>
    </row>
    <row r="7" spans="1:16" ht="12.75" customHeight="1">
      <c r="A7" s="131"/>
      <c r="B7" s="131"/>
      <c r="C7" s="131"/>
      <c r="D7" s="131"/>
      <c r="E7" s="131"/>
      <c r="F7" s="131"/>
      <c r="G7" s="131"/>
      <c r="H7" s="131"/>
    </row>
    <row r="8" spans="1:16" s="211" customFormat="1" ht="12.75" customHeight="1">
      <c r="A8" s="147" t="s">
        <v>24</v>
      </c>
      <c r="B8" s="147"/>
      <c r="C8" s="147"/>
      <c r="D8" s="147"/>
      <c r="E8" s="147"/>
      <c r="F8" s="210" t="s">
        <v>23</v>
      </c>
      <c r="G8" s="147"/>
      <c r="H8" s="147"/>
      <c r="I8" s="211" t="s">
        <v>5692</v>
      </c>
      <c r="J8" s="211">
        <v>43557</v>
      </c>
      <c r="L8" s="211" t="s">
        <v>5219</v>
      </c>
    </row>
    <row r="9" spans="1:16" s="211" customFormat="1" ht="12.75" customHeight="1">
      <c r="A9" s="147"/>
      <c r="B9" s="147"/>
      <c r="C9" s="147"/>
      <c r="D9" s="147"/>
      <c r="E9" s="147"/>
      <c r="F9" s="212" t="s">
        <v>1723</v>
      </c>
      <c r="G9" s="132" t="s">
        <v>5692</v>
      </c>
      <c r="H9" s="131"/>
      <c r="L9" s="147" t="s">
        <v>5150</v>
      </c>
      <c r="M9" s="224"/>
      <c r="N9" s="224"/>
      <c r="O9" s="147">
        <v>1500</v>
      </c>
    </row>
    <row r="10" spans="1:16" s="211" customFormat="1" ht="12.75" customHeight="1">
      <c r="A10" s="147" t="s">
        <v>5682</v>
      </c>
      <c r="B10" s="147"/>
      <c r="C10" s="147"/>
      <c r="D10" s="147"/>
      <c r="E10" s="147"/>
      <c r="F10" s="212" t="s">
        <v>1340</v>
      </c>
      <c r="G10" s="132" t="s">
        <v>5693</v>
      </c>
      <c r="H10" s="131"/>
      <c r="L10" s="147" t="s">
        <v>5151</v>
      </c>
      <c r="M10" s="224"/>
      <c r="N10" s="224"/>
      <c r="O10" s="147">
        <v>1500</v>
      </c>
    </row>
    <row r="11" spans="1:16" s="211" customFormat="1" ht="12.75" customHeight="1">
      <c r="A11" s="147" t="s">
        <v>5683</v>
      </c>
      <c r="B11" s="147"/>
      <c r="C11" s="147"/>
      <c r="D11" s="147"/>
      <c r="E11" s="147"/>
      <c r="F11" s="212" t="s">
        <v>1341</v>
      </c>
      <c r="G11" s="132" t="s">
        <v>2023</v>
      </c>
      <c r="H11" s="131"/>
      <c r="L11" s="147"/>
      <c r="M11" s="224"/>
      <c r="N11" s="224"/>
      <c r="O11" s="147"/>
    </row>
    <row r="12" spans="1:16" s="211" customFormat="1" ht="12.75" customHeight="1">
      <c r="A12" s="147" t="s">
        <v>5684</v>
      </c>
      <c r="B12" s="147"/>
      <c r="C12" s="147"/>
      <c r="D12" s="147"/>
      <c r="E12" s="147"/>
      <c r="F12" s="212" t="s">
        <v>2136</v>
      </c>
      <c r="G12" s="120" t="s">
        <v>1270</v>
      </c>
      <c r="H12" s="131"/>
      <c r="J12" s="222">
        <v>43131</v>
      </c>
      <c r="K12" s="303"/>
      <c r="L12" s="147" t="s">
        <v>4797</v>
      </c>
      <c r="M12" s="224"/>
      <c r="N12" s="224"/>
      <c r="O12" s="147">
        <v>1500</v>
      </c>
      <c r="P12" s="221"/>
    </row>
    <row r="13" spans="1:16" s="211" customFormat="1" ht="12.75" customHeight="1">
      <c r="A13" s="147" t="s">
        <v>5685</v>
      </c>
      <c r="B13" s="147"/>
      <c r="C13" s="147"/>
      <c r="D13" s="147"/>
      <c r="E13" s="147"/>
      <c r="F13" s="147"/>
      <c r="G13" s="377"/>
      <c r="H13" s="147"/>
      <c r="I13" s="211" t="s">
        <v>5500</v>
      </c>
      <c r="J13" s="224">
        <v>43496</v>
      </c>
      <c r="K13" s="224"/>
      <c r="L13" s="147" t="s">
        <v>5501</v>
      </c>
      <c r="M13" s="224"/>
      <c r="N13" s="224"/>
      <c r="O13" s="147">
        <v>1500</v>
      </c>
      <c r="P13" s="224"/>
    </row>
    <row r="14" spans="1:16" s="211" customFormat="1" ht="12.75" customHeight="1">
      <c r="A14" s="147"/>
      <c r="B14" s="147"/>
      <c r="C14" s="147"/>
      <c r="D14" s="147"/>
      <c r="E14" s="147"/>
      <c r="F14" s="147"/>
      <c r="G14" s="147"/>
      <c r="H14" s="147"/>
    </row>
    <row r="15" spans="1:16" s="213" customFormat="1" ht="12.75" customHeight="1">
      <c r="A15" s="147"/>
      <c r="B15" s="147"/>
      <c r="C15" s="147"/>
      <c r="D15" s="147"/>
      <c r="E15" s="147"/>
      <c r="F15" s="147"/>
      <c r="G15" s="147"/>
      <c r="H15" s="147"/>
    </row>
    <row r="16" spans="1:16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I16" s="214"/>
      <c r="L16" s="147" t="s">
        <v>4889</v>
      </c>
      <c r="M16" s="224"/>
      <c r="N16" s="224"/>
      <c r="O16" s="147">
        <v>1500</v>
      </c>
    </row>
    <row r="17" spans="1:16" s="213" customFormat="1" ht="12.75" customHeight="1">
      <c r="A17" s="215"/>
      <c r="B17" s="216"/>
      <c r="C17" s="216"/>
      <c r="D17" s="422"/>
      <c r="E17" s="422"/>
      <c r="F17" s="216"/>
      <c r="G17" s="218"/>
      <c r="H17" s="219"/>
      <c r="I17" s="214"/>
      <c r="L17" s="147" t="s">
        <v>4890</v>
      </c>
      <c r="M17" s="224"/>
      <c r="N17" s="224"/>
      <c r="O17" s="147">
        <v>1500</v>
      </c>
    </row>
    <row r="18" spans="1:16" s="211" customFormat="1" ht="12.75" customHeight="1">
      <c r="A18" s="220"/>
      <c r="B18" s="145"/>
      <c r="C18" s="145"/>
      <c r="D18" s="95" t="s">
        <v>5686</v>
      </c>
      <c r="E18" s="95"/>
      <c r="F18" s="224"/>
      <c r="G18" s="224"/>
      <c r="H18" s="147"/>
      <c r="I18" s="221"/>
    </row>
    <row r="19" spans="1:16" s="211" customFormat="1" ht="12.75" customHeight="1">
      <c r="A19" s="222"/>
      <c r="B19" s="303"/>
      <c r="C19" s="303"/>
      <c r="D19" s="95" t="s">
        <v>5687</v>
      </c>
      <c r="E19" s="147"/>
      <c r="F19" s="224"/>
      <c r="G19" s="224"/>
      <c r="H19" s="147"/>
      <c r="I19" s="221"/>
      <c r="L19" s="147" t="s">
        <v>4998</v>
      </c>
      <c r="M19" s="224"/>
      <c r="N19" s="224"/>
      <c r="O19" s="147">
        <v>1500</v>
      </c>
    </row>
    <row r="20" spans="1:16" s="211" customFormat="1" ht="12.75" customHeight="1">
      <c r="A20" s="220"/>
      <c r="B20" s="224"/>
      <c r="C20" s="224"/>
      <c r="D20" s="147"/>
      <c r="E20" s="147"/>
      <c r="F20" s="224"/>
      <c r="G20" s="224"/>
      <c r="H20" s="147"/>
      <c r="I20" s="221"/>
      <c r="L20" s="147"/>
      <c r="M20" s="224"/>
      <c r="N20" s="224"/>
      <c r="O20" s="147"/>
    </row>
    <row r="21" spans="1:16" s="224" customFormat="1" ht="12.75" customHeight="1">
      <c r="A21" s="220" t="s">
        <v>5588</v>
      </c>
      <c r="B21" s="212" t="s">
        <v>5688</v>
      </c>
      <c r="D21" s="147" t="s">
        <v>5690</v>
      </c>
      <c r="E21" s="147"/>
      <c r="H21" s="147">
        <f>5400*4.1283</f>
        <v>22292.820000000003</v>
      </c>
      <c r="L21" s="147" t="s">
        <v>4999</v>
      </c>
      <c r="O21" s="147">
        <v>1500</v>
      </c>
    </row>
    <row r="22" spans="1:16" s="224" customFormat="1" ht="12.75" customHeight="1">
      <c r="A22" s="211"/>
      <c r="B22" s="212" t="s">
        <v>5689</v>
      </c>
      <c r="C22" s="303"/>
      <c r="D22" s="147" t="s">
        <v>5691</v>
      </c>
      <c r="E22" s="147"/>
      <c r="F22" s="211"/>
      <c r="H22" s="147"/>
    </row>
    <row r="23" spans="1:16" s="211" customFormat="1" ht="12.75" customHeight="1">
      <c r="D23" s="147"/>
      <c r="E23" s="147"/>
      <c r="H23" s="147"/>
      <c r="I23" s="221"/>
      <c r="L23" s="147" t="s">
        <v>5221</v>
      </c>
      <c r="M23" s="224"/>
      <c r="N23" s="224"/>
      <c r="O23" s="147">
        <v>1500</v>
      </c>
      <c r="P23" s="221"/>
    </row>
    <row r="24" spans="1:16" s="211" customFormat="1" ht="12.75" customHeight="1">
      <c r="A24" s="222"/>
      <c r="D24" s="147" t="s">
        <v>1697</v>
      </c>
      <c r="E24" s="147"/>
      <c r="H24" s="147">
        <v>30</v>
      </c>
      <c r="I24" s="221"/>
      <c r="L24" s="147" t="s">
        <v>5222</v>
      </c>
      <c r="M24" s="224"/>
      <c r="N24" s="224"/>
      <c r="O24" s="147">
        <v>1500</v>
      </c>
      <c r="P24" s="221"/>
    </row>
    <row r="25" spans="1:16" s="224" customFormat="1" ht="12.75" customHeight="1">
      <c r="A25" s="222"/>
      <c r="D25" s="147"/>
      <c r="E25" s="147"/>
      <c r="H25" s="147"/>
    </row>
    <row r="26" spans="1:16" s="224" customFormat="1" ht="12.75" customHeight="1">
      <c r="A26" s="222"/>
      <c r="B26" s="223"/>
      <c r="C26" s="223"/>
      <c r="D26" s="147"/>
      <c r="E26" s="147"/>
      <c r="H26" s="147"/>
      <c r="K26" s="147" t="s">
        <v>5081</v>
      </c>
      <c r="N26" s="147">
        <v>1500</v>
      </c>
    </row>
    <row r="27" spans="1:16" s="224" customFormat="1" ht="12.75" customHeight="1">
      <c r="A27" s="220"/>
      <c r="B27" s="223"/>
      <c r="C27" s="223"/>
      <c r="D27" s="147"/>
      <c r="E27" s="147"/>
      <c r="H27" s="147"/>
      <c r="K27" s="147" t="s">
        <v>5082</v>
      </c>
      <c r="N27" s="147">
        <v>1500</v>
      </c>
    </row>
    <row r="28" spans="1:16" s="224" customFormat="1" ht="12.75" customHeight="1">
      <c r="A28" s="222"/>
      <c r="B28" s="223"/>
      <c r="C28" s="223"/>
      <c r="D28" s="147"/>
      <c r="E28" s="147"/>
      <c r="H28" s="147"/>
    </row>
    <row r="29" spans="1:16" s="224" customFormat="1" ht="12.75" customHeight="1">
      <c r="A29" s="222"/>
      <c r="B29" s="223"/>
      <c r="C29" s="223"/>
      <c r="D29" s="147"/>
      <c r="E29" s="147"/>
      <c r="H29" s="147"/>
    </row>
    <row r="30" spans="1:16" s="224" customFormat="1" ht="12.75" customHeight="1">
      <c r="A30" s="222"/>
      <c r="B30" s="223"/>
      <c r="C30" s="223"/>
      <c r="D30" s="147"/>
      <c r="E30" s="147"/>
      <c r="H30" s="147"/>
    </row>
    <row r="31" spans="1:16" s="227" customFormat="1" ht="12.75" customHeight="1">
      <c r="A31" s="222"/>
      <c r="B31" s="223"/>
      <c r="C31" s="223"/>
      <c r="D31" s="147"/>
      <c r="E31" s="147"/>
      <c r="F31" s="224"/>
      <c r="G31" s="224"/>
      <c r="H31" s="147"/>
    </row>
    <row r="32" spans="1:16" ht="12.75" customHeight="1">
      <c r="A32" s="222"/>
      <c r="B32" s="145"/>
      <c r="C32" s="145"/>
      <c r="D32" s="147"/>
      <c r="E32" s="147"/>
      <c r="F32" s="131"/>
      <c r="G32" s="131"/>
      <c r="H32" s="131"/>
    </row>
    <row r="33" spans="1:9" s="211" customFormat="1" ht="12.75" customHeight="1">
      <c r="A33" s="228"/>
      <c r="B33" s="228"/>
      <c r="C33" s="228"/>
      <c r="D33" s="147"/>
      <c r="E33" s="147"/>
      <c r="F33" s="131"/>
      <c r="G33" s="131"/>
      <c r="H33" s="131"/>
      <c r="I33" s="221"/>
    </row>
    <row r="34" spans="1:9" s="211" customFormat="1" ht="12.75" customHeight="1">
      <c r="A34" s="222"/>
      <c r="B34" s="145"/>
      <c r="C34" s="145"/>
      <c r="D34" s="147"/>
      <c r="E34" s="147"/>
      <c r="F34" s="147"/>
      <c r="G34" s="147"/>
      <c r="H34" s="147"/>
      <c r="I34" s="221"/>
    </row>
    <row r="35" spans="1:9" s="211" customFormat="1" ht="12.75" customHeight="1">
      <c r="A35" s="225"/>
      <c r="B35" s="145"/>
      <c r="C35" s="145"/>
      <c r="D35" s="147"/>
      <c r="E35" s="147"/>
      <c r="F35" s="147"/>
      <c r="G35" s="147"/>
      <c r="H35" s="147"/>
      <c r="I35" s="221"/>
    </row>
    <row r="36" spans="1:9" s="211" customFormat="1" ht="15.75" customHeight="1" thickBot="1">
      <c r="A36" s="229"/>
      <c r="B36" s="224"/>
      <c r="C36" s="224"/>
      <c r="D36" s="224"/>
      <c r="E36" s="224"/>
      <c r="F36" s="224"/>
      <c r="G36" s="224"/>
      <c r="H36" s="230">
        <f>SUM(H18:H35)</f>
        <v>22322.820000000003</v>
      </c>
      <c r="I36" s="221"/>
    </row>
    <row r="37" spans="1:9" s="211" customFormat="1" ht="12.75" customHeight="1" thickTop="1">
      <c r="A37" s="229"/>
      <c r="B37" s="224"/>
      <c r="C37" s="224"/>
      <c r="D37" s="224"/>
      <c r="E37" s="224"/>
      <c r="F37" s="224"/>
      <c r="G37" s="224"/>
      <c r="H37" s="224"/>
      <c r="I37" s="221"/>
    </row>
    <row r="38" spans="1:9" ht="20.100000000000001" customHeight="1">
      <c r="A38" s="138" t="s">
        <v>1133</v>
      </c>
      <c r="B38" s="204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Twenty-Two Thousand Three Hundred Twenty-Two and 82/100 -----------</v>
      </c>
      <c r="C38" s="204"/>
      <c r="D38" s="231"/>
      <c r="E38" s="231"/>
      <c r="F38" s="231"/>
      <c r="G38" s="231"/>
      <c r="H38" s="231"/>
    </row>
    <row r="39" spans="1:9" ht="12.75" customHeight="1">
      <c r="A39" s="232"/>
    </row>
    <row r="40" spans="1:9" ht="27" customHeight="1">
      <c r="A40" s="131" t="s">
        <v>10</v>
      </c>
      <c r="B40" s="131"/>
      <c r="C40" s="131"/>
      <c r="D40" s="131"/>
      <c r="E40" s="131"/>
      <c r="F40" s="283" t="s">
        <v>2894</v>
      </c>
      <c r="G40" s="284"/>
      <c r="H40" s="285"/>
    </row>
    <row r="41" spans="1:9" ht="12.75" customHeight="1">
      <c r="A41" s="131"/>
      <c r="B41" s="131"/>
      <c r="C41" s="131"/>
      <c r="D41" s="131"/>
      <c r="E41" s="131"/>
      <c r="F41" s="131"/>
      <c r="G41" s="131"/>
      <c r="H41" s="131"/>
    </row>
    <row r="42" spans="1:9" ht="12.75" customHeight="1">
      <c r="A42" s="131"/>
      <c r="B42" s="131"/>
      <c r="C42" s="131"/>
      <c r="D42" s="131"/>
      <c r="E42" s="131"/>
      <c r="F42" s="131"/>
      <c r="G42" s="131"/>
      <c r="H42" s="131"/>
    </row>
    <row r="43" spans="1:9">
      <c r="A43" s="301"/>
      <c r="B43" s="131"/>
      <c r="C43" s="131"/>
      <c r="D43" s="131"/>
      <c r="E43" s="131"/>
      <c r="F43" s="291"/>
      <c r="G43" s="291"/>
      <c r="H43" s="291"/>
    </row>
    <row r="44" spans="1:9">
      <c r="A44" s="248"/>
      <c r="B44" s="142"/>
      <c r="C44" s="445"/>
      <c r="D44" s="131"/>
      <c r="E44" s="131"/>
      <c r="F44" s="286"/>
      <c r="G44" s="287"/>
      <c r="H44" s="287"/>
    </row>
    <row r="45" spans="1:9" ht="12.75" customHeight="1">
      <c r="A45" s="301"/>
      <c r="B45" s="301"/>
      <c r="C45" s="301"/>
      <c r="D45" s="131"/>
      <c r="E45" s="131"/>
      <c r="F45" s="131"/>
      <c r="G45" s="131"/>
      <c r="H45" s="144"/>
    </row>
    <row r="46" spans="1:9" ht="12.75" customHeight="1">
      <c r="A46" s="143" t="s">
        <v>8</v>
      </c>
      <c r="B46" s="131"/>
      <c r="C46" s="131"/>
      <c r="D46" s="143" t="s">
        <v>8</v>
      </c>
      <c r="E46" s="131"/>
      <c r="F46" s="143" t="s">
        <v>7</v>
      </c>
      <c r="G46" s="131"/>
      <c r="H46" s="131"/>
    </row>
    <row r="47" spans="1:9" ht="12.75" customHeight="1">
      <c r="A47" s="301"/>
      <c r="B47" s="131"/>
      <c r="C47" s="131"/>
      <c r="D47" s="301"/>
      <c r="E47" s="131"/>
      <c r="G47" s="131"/>
      <c r="H47" s="131"/>
    </row>
    <row r="48" spans="1:9" ht="12.75" customHeight="1">
      <c r="A48" s="143"/>
      <c r="B48" s="131"/>
      <c r="C48" s="131"/>
      <c r="D48" s="143"/>
      <c r="E48" s="131"/>
      <c r="F48" s="131"/>
      <c r="G48" s="131"/>
      <c r="H48" s="131"/>
    </row>
    <row r="49" spans="1:8" ht="12.75" customHeight="1">
      <c r="A49" s="143"/>
      <c r="B49" s="131"/>
      <c r="C49" s="131"/>
      <c r="D49" s="143"/>
      <c r="E49" s="131"/>
      <c r="F49" s="131"/>
      <c r="G49" s="131"/>
      <c r="H49" s="131"/>
    </row>
    <row r="50" spans="1:8" s="211" customFormat="1" ht="12.75" customHeight="1">
      <c r="A50" s="143"/>
      <c r="B50" s="131"/>
      <c r="C50" s="131"/>
      <c r="D50" s="143"/>
      <c r="E50" s="131"/>
      <c r="F50" s="131"/>
      <c r="G50" s="147"/>
      <c r="H50" s="147"/>
    </row>
    <row r="51" spans="1:8" ht="12.75" customHeight="1">
      <c r="A51" s="248"/>
      <c r="B51" s="142"/>
      <c r="C51" s="445"/>
      <c r="D51" s="248"/>
      <c r="E51" s="131"/>
      <c r="F51" s="142"/>
      <c r="G51" s="142"/>
      <c r="H51" s="142"/>
    </row>
    <row r="52" spans="1:8">
      <c r="A52" s="143" t="s">
        <v>2948</v>
      </c>
      <c r="B52" s="146"/>
      <c r="C52" s="146"/>
      <c r="D52" s="143" t="s">
        <v>103</v>
      </c>
      <c r="E52" s="147"/>
      <c r="F52" s="147" t="s">
        <v>3</v>
      </c>
      <c r="G52" s="131"/>
      <c r="H52" s="131"/>
    </row>
    <row r="53" spans="1:8">
      <c r="A53" s="143"/>
      <c r="B53" s="131"/>
      <c r="C53" s="131"/>
      <c r="D53" s="131"/>
      <c r="E53" s="131"/>
      <c r="F53" s="131" t="s">
        <v>2</v>
      </c>
      <c r="G53" s="131"/>
      <c r="H53" s="131"/>
    </row>
    <row r="54" spans="1:8" ht="12.75" customHeight="1">
      <c r="A54" s="131"/>
      <c r="B54" s="131"/>
      <c r="C54" s="131"/>
      <c r="D54" s="131"/>
      <c r="E54" s="131"/>
      <c r="F54" s="131"/>
      <c r="G54" s="131"/>
      <c r="H54" s="131"/>
    </row>
    <row r="55" spans="1:8">
      <c r="A55" s="131"/>
      <c r="B55" s="131"/>
      <c r="C55" s="131"/>
      <c r="D55" s="131"/>
      <c r="E55" s="131"/>
      <c r="F55" s="110" t="s">
        <v>1</v>
      </c>
      <c r="G55" s="131"/>
      <c r="H55" s="131"/>
    </row>
    <row r="56" spans="1:8">
      <c r="A56" s="131"/>
      <c r="B56" s="131"/>
      <c r="C56" s="131"/>
      <c r="D56" s="131"/>
      <c r="E56" s="131"/>
      <c r="F56" s="110" t="s">
        <v>0</v>
      </c>
      <c r="G56" s="131"/>
      <c r="H56" s="131"/>
    </row>
    <row r="57" spans="1:8" ht="12.75" customHeight="1">
      <c r="A57" s="131"/>
      <c r="B57" s="131"/>
      <c r="C57" s="131"/>
      <c r="D57" s="131"/>
      <c r="E57" s="131"/>
      <c r="F57" s="131"/>
      <c r="G57" s="131"/>
      <c r="H57" s="131"/>
    </row>
    <row r="58" spans="1:8" ht="12.75" customHeight="1">
      <c r="A58" s="131"/>
      <c r="B58" s="131"/>
      <c r="C58" s="131"/>
      <c r="D58" s="131"/>
      <c r="E58" s="131"/>
      <c r="F58" s="131"/>
      <c r="G58" s="131"/>
      <c r="H58" s="131"/>
    </row>
    <row r="59" spans="1:8">
      <c r="A59" s="131"/>
      <c r="B59" s="131"/>
      <c r="C59" s="131"/>
      <c r="D59" s="131"/>
      <c r="E59" s="131"/>
      <c r="F59" s="131"/>
      <c r="G59" s="131"/>
      <c r="H59" s="131"/>
    </row>
    <row r="60" spans="1:8">
      <c r="A60" s="131"/>
      <c r="B60" s="131"/>
      <c r="C60" s="131"/>
      <c r="D60" s="131"/>
      <c r="E60" s="131"/>
      <c r="F60" s="131"/>
      <c r="G60" s="131"/>
      <c r="H60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5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D4A4E-ADC4-4E14-9181-3CBB8EEEE0E0}">
  <sheetPr codeName="Sheet554">
    <pageSetUpPr fitToPage="1"/>
  </sheetPr>
  <dimension ref="A1:O66"/>
  <sheetViews>
    <sheetView zoomScaleNormal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4" width="9.140625" style="1"/>
    <col min="15" max="15" width="10.5703125" style="1" bestFit="1" customWidth="1"/>
    <col min="16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5">
      <c r="A9" s="111"/>
      <c r="B9" s="111"/>
      <c r="C9" s="111"/>
      <c r="D9" s="111"/>
      <c r="E9" s="111"/>
      <c r="F9" s="112" t="s">
        <v>22</v>
      </c>
      <c r="G9" s="126" t="s">
        <v>5709</v>
      </c>
      <c r="H9" s="111"/>
    </row>
    <row r="10" spans="1:15">
      <c r="A10" s="111" t="s">
        <v>5710</v>
      </c>
      <c r="B10" s="111"/>
      <c r="C10" s="111"/>
      <c r="D10" s="111"/>
      <c r="E10" s="111"/>
      <c r="F10" s="112" t="s">
        <v>21</v>
      </c>
      <c r="G10" s="160" t="s">
        <v>5630</v>
      </c>
      <c r="H10" s="111"/>
      <c r="J10" s="21"/>
      <c r="K10" s="111"/>
      <c r="L10" s="111"/>
      <c r="M10" s="111"/>
    </row>
    <row r="11" spans="1:15">
      <c r="A11" s="111" t="s">
        <v>5711</v>
      </c>
      <c r="B11" s="111"/>
      <c r="C11" s="111"/>
      <c r="D11" s="111"/>
      <c r="E11" s="111"/>
      <c r="F11" s="112" t="s">
        <v>19</v>
      </c>
      <c r="G11" s="160" t="s">
        <v>1094</v>
      </c>
      <c r="H11" s="111"/>
      <c r="J11" s="336"/>
      <c r="K11" s="111"/>
    </row>
    <row r="12" spans="1:15">
      <c r="A12" s="111" t="s">
        <v>5712</v>
      </c>
      <c r="B12" s="111"/>
      <c r="C12" s="111"/>
      <c r="D12" s="111"/>
      <c r="E12" s="111"/>
      <c r="F12" s="112" t="s">
        <v>17</v>
      </c>
      <c r="G12" s="160" t="s">
        <v>1270</v>
      </c>
      <c r="H12" s="111"/>
      <c r="K12" s="111"/>
    </row>
    <row r="13" spans="1:15">
      <c r="A13" s="111" t="s">
        <v>5713</v>
      </c>
      <c r="B13" s="111"/>
      <c r="C13" s="111"/>
      <c r="D13" s="111"/>
      <c r="E13" s="111"/>
      <c r="F13" s="111"/>
      <c r="G13" s="131"/>
      <c r="H13" s="111"/>
      <c r="K13" s="111"/>
    </row>
    <row r="14" spans="1:15">
      <c r="A14" s="111"/>
      <c r="B14" s="111"/>
      <c r="C14" s="111"/>
      <c r="D14" s="111"/>
      <c r="E14" s="111"/>
      <c r="F14" s="111"/>
      <c r="G14" s="131"/>
      <c r="H14" s="111"/>
    </row>
    <row r="15" spans="1:15">
      <c r="A15" s="111"/>
      <c r="B15" s="111"/>
      <c r="C15" s="111"/>
      <c r="D15" s="111"/>
      <c r="E15" s="111"/>
      <c r="F15" s="111"/>
      <c r="G15" s="111"/>
      <c r="H15" s="111"/>
      <c r="K15" s="111"/>
      <c r="L15" s="111"/>
      <c r="M15" s="111"/>
      <c r="N15" s="111"/>
      <c r="O15" s="111"/>
    </row>
    <row r="16" spans="1:15" s="15" customFormat="1" ht="20.100000000000001" customHeight="1">
      <c r="A16" s="18" t="s">
        <v>1140</v>
      </c>
      <c r="B16" s="444" t="s">
        <v>1098</v>
      </c>
      <c r="C16" s="444"/>
      <c r="D16" s="19" t="s">
        <v>14</v>
      </c>
      <c r="E16" s="19"/>
      <c r="F16" s="18"/>
      <c r="G16" s="17"/>
      <c r="H16" s="16" t="s">
        <v>13</v>
      </c>
      <c r="K16" s="111"/>
      <c r="L16" s="1"/>
      <c r="M16" s="1"/>
      <c r="N16" s="1"/>
      <c r="O16" s="111"/>
    </row>
    <row r="17" spans="1:15">
      <c r="A17" s="111"/>
      <c r="B17" s="111"/>
      <c r="C17" s="111"/>
      <c r="D17" s="111"/>
      <c r="E17" s="111"/>
      <c r="F17" s="111"/>
      <c r="G17" s="111"/>
      <c r="H17" s="111"/>
      <c r="K17" s="111"/>
      <c r="O17" s="111"/>
    </row>
    <row r="18" spans="1:15">
      <c r="A18" s="111"/>
      <c r="B18" s="111"/>
      <c r="C18" s="111"/>
      <c r="D18" s="2" t="s">
        <v>5686</v>
      </c>
      <c r="E18" s="2"/>
      <c r="F18" s="111"/>
      <c r="G18" s="111"/>
      <c r="H18" s="111"/>
    </row>
    <row r="19" spans="1:15">
      <c r="A19" s="111"/>
      <c r="B19" s="111"/>
      <c r="C19" s="111"/>
      <c r="D19" s="2" t="s">
        <v>5714</v>
      </c>
      <c r="E19" s="2"/>
      <c r="F19" s="111"/>
      <c r="G19" s="111"/>
      <c r="H19" s="111"/>
      <c r="K19" s="111"/>
      <c r="L19" s="111"/>
      <c r="M19" s="111"/>
      <c r="N19" s="111"/>
      <c r="O19" s="111"/>
    </row>
    <row r="20" spans="1:15">
      <c r="A20" s="116"/>
      <c r="B20" s="116"/>
      <c r="C20" s="116"/>
      <c r="D20" s="111"/>
      <c r="E20" s="111"/>
      <c r="F20" s="111"/>
      <c r="G20" s="111"/>
      <c r="H20" s="111"/>
      <c r="K20" s="111"/>
      <c r="L20" s="111"/>
      <c r="M20" s="111"/>
      <c r="N20" s="111"/>
      <c r="O20" s="111"/>
    </row>
    <row r="21" spans="1:15">
      <c r="A21" s="120" t="s">
        <v>5715</v>
      </c>
      <c r="B21" s="120" t="s">
        <v>5716</v>
      </c>
      <c r="C21" s="120"/>
      <c r="D21" s="111" t="s">
        <v>5717</v>
      </c>
      <c r="H21" s="111">
        <f>12660*4.1563</f>
        <v>52618.758000000002</v>
      </c>
      <c r="K21" s="111"/>
      <c r="L21" s="111"/>
      <c r="O21" s="111"/>
    </row>
    <row r="22" spans="1:15">
      <c r="A22" s="116"/>
      <c r="B22" s="116"/>
      <c r="C22" s="116"/>
      <c r="D22" s="111" t="s">
        <v>5718</v>
      </c>
      <c r="H22" s="111"/>
    </row>
    <row r="23" spans="1:15">
      <c r="D23" s="111" t="s">
        <v>5719</v>
      </c>
      <c r="K23" s="111"/>
      <c r="O23" s="111"/>
    </row>
    <row r="24" spans="1:15">
      <c r="A24" s="116"/>
      <c r="B24" s="116"/>
      <c r="C24" s="120"/>
      <c r="D24" s="111"/>
      <c r="H24" s="111"/>
      <c r="K24" s="111"/>
      <c r="L24" s="111"/>
    </row>
    <row r="25" spans="1:15">
      <c r="A25" s="116"/>
      <c r="B25" s="116"/>
      <c r="C25" s="116"/>
      <c r="D25" s="111" t="s">
        <v>1697</v>
      </c>
      <c r="E25" s="111"/>
      <c r="F25" s="111"/>
      <c r="G25" s="111"/>
      <c r="H25" s="111">
        <v>30</v>
      </c>
      <c r="K25" s="111"/>
      <c r="L25" s="111"/>
      <c r="M25" s="111"/>
      <c r="N25" s="111"/>
      <c r="O25" s="111"/>
    </row>
    <row r="26" spans="1:15">
      <c r="A26" s="111"/>
      <c r="B26" s="111"/>
      <c r="C26" s="111"/>
      <c r="D26" s="111"/>
      <c r="E26" s="111"/>
      <c r="F26" s="111"/>
      <c r="G26" s="111"/>
      <c r="H26" s="111"/>
      <c r="K26" s="111"/>
      <c r="O26" s="111"/>
    </row>
    <row r="27" spans="1:15">
      <c r="A27" s="116"/>
      <c r="B27" s="116"/>
      <c r="C27" s="120"/>
      <c r="D27" s="111"/>
      <c r="E27" s="111"/>
      <c r="H27" s="111"/>
      <c r="K27" s="111"/>
      <c r="O27" s="111"/>
    </row>
    <row r="28" spans="1:15">
      <c r="A28" s="111"/>
      <c r="B28" s="111"/>
      <c r="C28" s="111"/>
      <c r="D28" s="111"/>
      <c r="K28" s="111"/>
      <c r="O28" s="111"/>
    </row>
    <row r="29" spans="1:15">
      <c r="A29" s="111"/>
      <c r="B29" s="111"/>
      <c r="C29" s="111"/>
      <c r="D29" s="111"/>
      <c r="H29" s="111"/>
      <c r="K29" s="111"/>
      <c r="L29" s="111"/>
      <c r="M29" s="111"/>
      <c r="N29" s="111"/>
      <c r="O29" s="111"/>
    </row>
    <row r="30" spans="1:15">
      <c r="A30" s="111"/>
      <c r="B30" s="120"/>
      <c r="C30" s="120"/>
      <c r="D30" s="111"/>
      <c r="H30" s="111"/>
      <c r="K30" s="111"/>
      <c r="L30" s="111"/>
      <c r="M30" s="111"/>
      <c r="N30" s="111"/>
      <c r="O30" s="111"/>
    </row>
    <row r="31" spans="1:15">
      <c r="A31" s="111"/>
      <c r="B31" s="111"/>
      <c r="C31" s="111"/>
    </row>
    <row r="32" spans="1:15">
      <c r="A32" s="111"/>
      <c r="B32" s="111"/>
      <c r="C32" s="111"/>
    </row>
    <row r="33" spans="1:8">
      <c r="A33" s="111"/>
      <c r="B33" s="111"/>
      <c r="C33" s="111"/>
    </row>
    <row r="34" spans="1:8">
      <c r="A34" s="111"/>
      <c r="B34" s="111"/>
      <c r="C34" s="111"/>
    </row>
    <row r="35" spans="1:8">
      <c r="A35" s="111"/>
      <c r="B35" s="111"/>
      <c r="C35" s="111"/>
    </row>
    <row r="36" spans="1:8">
      <c r="A36" s="111"/>
      <c r="B36" s="111"/>
      <c r="C36" s="111"/>
      <c r="D36" s="111"/>
      <c r="E36" s="111"/>
      <c r="F36" s="111"/>
      <c r="G36" s="111"/>
      <c r="H36" s="111"/>
    </row>
    <row r="37" spans="1:8" ht="13.5" thickBot="1">
      <c r="A37" s="111"/>
      <c r="B37" s="111"/>
      <c r="C37" s="111"/>
      <c r="D37" s="111"/>
      <c r="E37" s="111"/>
      <c r="F37" s="111"/>
      <c r="G37" s="111"/>
      <c r="H37" s="117">
        <f>SUM(H18:H31)</f>
        <v>52648.758000000002</v>
      </c>
    </row>
    <row r="38" spans="1:8" ht="13.5" thickTop="1">
      <c r="A38" s="111"/>
      <c r="B38" s="111"/>
      <c r="C38" s="111"/>
      <c r="D38" s="111"/>
      <c r="E38" s="111"/>
    </row>
    <row r="39" spans="1:8" ht="20.100000000000001" customHeight="1">
      <c r="A39" s="118" t="s">
        <v>204</v>
      </c>
      <c r="B39" s="204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Fifty-Two Thousand Six Hundred Forty-Eight and 76/100 -----------</v>
      </c>
      <c r="C39" s="204"/>
      <c r="D39" s="119"/>
      <c r="E39" s="119"/>
      <c r="F39" s="119"/>
      <c r="G39" s="119"/>
      <c r="H39" s="119"/>
    </row>
    <row r="40" spans="1:8" ht="20.100000000000001" customHeight="1">
      <c r="A40" s="160"/>
      <c r="B40" s="145"/>
      <c r="C40" s="145"/>
      <c r="D40" s="126"/>
      <c r="E40" s="126"/>
      <c r="F40" s="126"/>
      <c r="G40" s="126"/>
      <c r="H40" s="126"/>
    </row>
    <row r="41" spans="1:8" ht="25.5">
      <c r="A41" s="120" t="s">
        <v>3060</v>
      </c>
      <c r="B41" s="111"/>
      <c r="C41" s="111"/>
      <c r="D41" s="111"/>
      <c r="E41" s="111"/>
      <c r="F41" s="265" t="s">
        <v>2894</v>
      </c>
      <c r="G41" s="266"/>
      <c r="H41" s="267"/>
    </row>
    <row r="42" spans="1:8">
      <c r="A42" s="111"/>
      <c r="B42" s="111"/>
      <c r="C42" s="111"/>
      <c r="D42" s="111"/>
      <c r="E42" s="111"/>
      <c r="F42" s="310"/>
      <c r="G42" s="311"/>
      <c r="H42" s="311"/>
    </row>
    <row r="43" spans="1:8">
      <c r="B43" s="111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2"/>
      <c r="B45" s="122"/>
      <c r="C45" s="111"/>
      <c r="D45" s="111"/>
      <c r="E45" s="111"/>
      <c r="F45" s="111"/>
      <c r="G45" s="111"/>
      <c r="H45" s="111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23" t="s">
        <v>8</v>
      </c>
      <c r="B47" s="111"/>
      <c r="C47" s="111"/>
      <c r="D47" s="123" t="s">
        <v>8</v>
      </c>
      <c r="E47" s="111"/>
      <c r="F47" s="123" t="s">
        <v>7</v>
      </c>
      <c r="G47" s="111"/>
      <c r="H47" s="124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11"/>
      <c r="B50" s="111"/>
      <c r="C50" s="111"/>
      <c r="D50" s="111"/>
      <c r="E50" s="111"/>
      <c r="F50" s="111"/>
      <c r="G50" s="111"/>
      <c r="H50" s="111"/>
    </row>
    <row r="51" spans="1:8">
      <c r="A51" s="122"/>
      <c r="B51" s="122"/>
      <c r="C51" s="111"/>
      <c r="D51" s="122"/>
      <c r="E51" s="111"/>
      <c r="F51" s="122"/>
      <c r="G51" s="122"/>
      <c r="H51" s="122"/>
    </row>
    <row r="52" spans="1:8" s="3" customFormat="1" ht="17.100000000000001" customHeight="1">
      <c r="A52" s="151" t="s">
        <v>2948</v>
      </c>
      <c r="B52" s="125"/>
      <c r="C52" s="125"/>
      <c r="D52" s="151" t="s">
        <v>103</v>
      </c>
      <c r="E52" s="126"/>
      <c r="F52" s="126" t="s">
        <v>3</v>
      </c>
      <c r="G52" s="126"/>
      <c r="H52" s="126"/>
    </row>
    <row r="53" spans="1:8">
      <c r="A53" s="111"/>
      <c r="B53" s="111"/>
      <c r="C53" s="111"/>
      <c r="D53" s="111"/>
      <c r="E53" s="111"/>
      <c r="F53" s="111" t="s">
        <v>2</v>
      </c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  <row r="55" spans="1:8">
      <c r="A55" s="111"/>
      <c r="B55" s="111"/>
      <c r="C55" s="111"/>
      <c r="D55" s="111"/>
      <c r="E55" s="111"/>
      <c r="F55" s="2" t="s">
        <v>1</v>
      </c>
      <c r="G55" s="111"/>
      <c r="H55" s="111"/>
    </row>
    <row r="56" spans="1:8">
      <c r="A56" s="111"/>
      <c r="B56" s="111"/>
      <c r="C56" s="111"/>
      <c r="D56" s="111"/>
      <c r="E56" s="111"/>
      <c r="F56" s="2" t="s">
        <v>0</v>
      </c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  <row r="65" spans="1:8">
      <c r="A65" s="111"/>
      <c r="B65" s="111"/>
      <c r="C65" s="111"/>
      <c r="D65" s="111"/>
      <c r="E65" s="111"/>
      <c r="F65" s="111"/>
      <c r="G65" s="111"/>
      <c r="H65" s="111"/>
    </row>
    <row r="66" spans="1:8">
      <c r="A66" s="111"/>
      <c r="B66" s="111"/>
      <c r="C66" s="111"/>
      <c r="D66" s="111"/>
      <c r="E66" s="111"/>
      <c r="F66" s="111"/>
      <c r="G66" s="111"/>
      <c r="H6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C62C9-0A2C-4271-826E-B74908552EA9}">
  <sheetPr codeName="Sheet514"/>
  <dimension ref="A1:N56"/>
  <sheetViews>
    <sheetView view="pageBreakPreview" topLeftCell="A25" zoomScaleNormal="100" zoomScaleSheetLayoutView="10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1.140625" style="1" customWidth="1"/>
    <col min="4" max="4" width="23" style="1" customWidth="1"/>
    <col min="5" max="5" width="1.28515625" style="1" customWidth="1"/>
    <col min="6" max="6" width="15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14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4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4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4">
      <c r="A4" s="530" t="s">
        <v>1481</v>
      </c>
      <c r="B4" s="530"/>
      <c r="C4" s="530"/>
      <c r="D4" s="530"/>
      <c r="E4" s="530"/>
      <c r="F4" s="530"/>
      <c r="G4" s="530"/>
      <c r="H4" s="530"/>
    </row>
    <row r="7" spans="1:14">
      <c r="J7" s="1" t="s">
        <v>5248</v>
      </c>
      <c r="K7" s="1">
        <v>43409</v>
      </c>
      <c r="M7" s="1" t="s">
        <v>1270</v>
      </c>
    </row>
    <row r="8" spans="1:14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4">
      <c r="A9" s="111"/>
      <c r="B9" s="111"/>
      <c r="C9" s="111"/>
      <c r="D9" s="111"/>
      <c r="E9" s="111"/>
      <c r="F9" s="112" t="s">
        <v>1127</v>
      </c>
      <c r="G9" s="111" t="s">
        <v>5248</v>
      </c>
      <c r="H9" s="111"/>
    </row>
    <row r="10" spans="1:14">
      <c r="A10" s="111" t="s">
        <v>5250</v>
      </c>
      <c r="B10" s="111"/>
      <c r="C10" s="111"/>
      <c r="D10" s="111"/>
      <c r="E10" s="111"/>
      <c r="F10" s="112" t="s">
        <v>1162</v>
      </c>
      <c r="G10" s="112" t="s">
        <v>5249</v>
      </c>
      <c r="H10" s="111"/>
      <c r="K10" s="1" t="s">
        <v>4800</v>
      </c>
      <c r="L10" s="1">
        <v>43161</v>
      </c>
      <c r="N10" s="1" t="s">
        <v>4801</v>
      </c>
    </row>
    <row r="11" spans="1:14">
      <c r="A11" s="111" t="s">
        <v>5251</v>
      </c>
      <c r="B11" s="111"/>
      <c r="C11" s="111"/>
      <c r="D11" s="111"/>
      <c r="E11" s="111"/>
      <c r="F11" s="112" t="s">
        <v>1163</v>
      </c>
      <c r="G11" s="112" t="s">
        <v>1094</v>
      </c>
      <c r="H11" s="111"/>
    </row>
    <row r="12" spans="1:14">
      <c r="A12" s="111" t="s">
        <v>5252</v>
      </c>
      <c r="B12" s="111"/>
      <c r="C12" s="111"/>
      <c r="D12" s="111"/>
      <c r="E12" s="111"/>
      <c r="F12" s="112" t="s">
        <v>1096</v>
      </c>
      <c r="G12" s="112" t="s">
        <v>1270</v>
      </c>
      <c r="H12" s="111"/>
    </row>
    <row r="13" spans="1:14">
      <c r="A13" s="111" t="s">
        <v>5253</v>
      </c>
      <c r="B13" s="111"/>
      <c r="C13" s="111"/>
      <c r="D13" s="111"/>
      <c r="E13" s="111"/>
      <c r="F13" s="111"/>
      <c r="G13" s="111"/>
      <c r="H13" s="111"/>
      <c r="K13" s="2" t="s">
        <v>4927</v>
      </c>
      <c r="L13" s="111"/>
      <c r="M13" s="111"/>
      <c r="N13" s="111"/>
    </row>
    <row r="14" spans="1:14">
      <c r="A14" s="111"/>
      <c r="B14" s="111"/>
      <c r="C14" s="111"/>
      <c r="D14" s="111"/>
      <c r="E14" s="111"/>
      <c r="F14" s="111"/>
      <c r="G14" s="111"/>
      <c r="H14" s="111"/>
      <c r="K14" s="2"/>
      <c r="L14" s="111"/>
      <c r="M14" s="111"/>
      <c r="N14" s="111"/>
    </row>
    <row r="15" spans="1:14">
      <c r="A15" s="111"/>
      <c r="B15" s="111"/>
      <c r="C15" s="111"/>
      <c r="D15" s="111"/>
      <c r="E15" s="111"/>
      <c r="F15" s="111"/>
      <c r="G15" s="111"/>
      <c r="H15" s="111"/>
      <c r="K15" s="111" t="s">
        <v>4667</v>
      </c>
      <c r="M15" s="111"/>
      <c r="N15" s="111">
        <f>1530</f>
        <v>1530</v>
      </c>
    </row>
    <row r="16" spans="1:14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K16" s="111" t="s">
        <v>1583</v>
      </c>
      <c r="L16" s="111"/>
      <c r="M16" s="111"/>
      <c r="N16" s="111">
        <v>500</v>
      </c>
    </row>
    <row r="17" spans="1:14">
      <c r="A17" s="111"/>
      <c r="B17" s="111"/>
      <c r="C17" s="111"/>
      <c r="D17" s="111"/>
      <c r="E17" s="111"/>
      <c r="F17" s="111"/>
      <c r="G17" s="111"/>
      <c r="H17" s="111"/>
      <c r="K17" s="111" t="s">
        <v>4518</v>
      </c>
      <c r="L17" s="111"/>
      <c r="M17" s="111"/>
      <c r="N17" s="111">
        <v>150</v>
      </c>
    </row>
    <row r="18" spans="1:14">
      <c r="D18" s="2" t="s">
        <v>5223</v>
      </c>
      <c r="E18" s="2"/>
      <c r="F18" s="111"/>
      <c r="G18" s="111"/>
      <c r="H18" s="111"/>
      <c r="I18" s="242"/>
      <c r="K18" s="111" t="s">
        <v>4928</v>
      </c>
      <c r="L18" s="111"/>
      <c r="M18" s="111"/>
      <c r="N18" s="111">
        <v>100</v>
      </c>
    </row>
    <row r="19" spans="1:14">
      <c r="A19" s="116"/>
      <c r="B19" s="241"/>
      <c r="C19" s="241"/>
      <c r="D19" s="2"/>
      <c r="E19" s="2"/>
      <c r="F19" s="111"/>
      <c r="G19" s="111"/>
      <c r="H19" s="111"/>
      <c r="I19" s="111"/>
      <c r="K19" s="111"/>
      <c r="L19" s="111"/>
      <c r="M19" s="111"/>
      <c r="N19" s="111"/>
    </row>
    <row r="20" spans="1:14">
      <c r="A20" s="116"/>
      <c r="B20" s="241" t="s">
        <v>5254</v>
      </c>
      <c r="C20" s="241"/>
      <c r="D20" s="111" t="s">
        <v>5255</v>
      </c>
      <c r="E20" s="111"/>
      <c r="F20" s="111"/>
      <c r="G20" s="111"/>
      <c r="H20" s="111">
        <f>860.38*4.22199</f>
        <v>3632.5157561999999</v>
      </c>
      <c r="I20" s="111"/>
    </row>
    <row r="21" spans="1:14">
      <c r="A21" s="111"/>
      <c r="D21" s="111" t="s">
        <v>5256</v>
      </c>
      <c r="E21" s="111"/>
      <c r="G21" s="111"/>
      <c r="H21" s="111"/>
      <c r="I21" s="111"/>
    </row>
    <row r="22" spans="1:14">
      <c r="A22" s="120"/>
      <c r="B22" s="313"/>
      <c r="C22" s="313"/>
      <c r="D22" s="111" t="s">
        <v>5257</v>
      </c>
      <c r="E22" s="111"/>
      <c r="F22" s="111"/>
      <c r="G22" s="111"/>
      <c r="H22" s="111"/>
      <c r="I22" s="111"/>
    </row>
    <row r="23" spans="1:14">
      <c r="B23" s="241"/>
      <c r="C23" s="241"/>
      <c r="D23" s="111"/>
      <c r="E23" s="111"/>
      <c r="F23" s="111"/>
      <c r="G23" s="111"/>
      <c r="H23" s="111"/>
      <c r="I23" s="111"/>
    </row>
    <row r="24" spans="1:14">
      <c r="A24" s="111"/>
      <c r="B24" s="111"/>
      <c r="C24" s="111"/>
      <c r="D24" s="111" t="s">
        <v>1697</v>
      </c>
      <c r="E24" s="111"/>
      <c r="F24" s="111"/>
      <c r="G24" s="111"/>
      <c r="H24" s="111">
        <v>30</v>
      </c>
      <c r="I24" s="111"/>
    </row>
    <row r="25" spans="1:14">
      <c r="A25" s="116"/>
      <c r="B25" s="241"/>
      <c r="C25" s="241"/>
      <c r="D25" s="111"/>
      <c r="E25" s="111"/>
      <c r="F25" s="111"/>
      <c r="G25" s="111"/>
      <c r="H25" s="111"/>
    </row>
    <row r="26" spans="1:14">
      <c r="A26" s="111"/>
      <c r="B26" s="241"/>
      <c r="C26" s="241"/>
      <c r="D26" s="111"/>
      <c r="E26" s="111"/>
      <c r="F26" s="111"/>
      <c r="G26" s="111"/>
      <c r="H26" s="111"/>
    </row>
    <row r="27" spans="1:14">
      <c r="A27" s="120"/>
      <c r="B27" s="314"/>
      <c r="C27" s="314"/>
      <c r="D27" s="2"/>
      <c r="E27" s="2"/>
      <c r="F27" s="111"/>
      <c r="G27" s="111"/>
      <c r="H27" s="111"/>
    </row>
    <row r="28" spans="1:14">
      <c r="D28" s="111"/>
      <c r="E28" s="111"/>
      <c r="G28" s="111"/>
      <c r="H28" s="111"/>
    </row>
    <row r="29" spans="1:14">
      <c r="A29" s="120"/>
      <c r="B29" s="313"/>
      <c r="C29" s="313"/>
      <c r="D29" s="111"/>
      <c r="E29" s="111"/>
      <c r="F29" s="111"/>
      <c r="G29" s="111"/>
      <c r="H29" s="111"/>
    </row>
    <row r="30" spans="1:14">
      <c r="A30" s="120"/>
      <c r="B30" s="241"/>
      <c r="C30" s="241"/>
      <c r="D30" s="111"/>
      <c r="E30" s="111"/>
      <c r="F30" s="111"/>
      <c r="G30" s="111"/>
      <c r="H30" s="111"/>
    </row>
    <row r="31" spans="1:14">
      <c r="A31" s="123"/>
      <c r="B31" s="111"/>
      <c r="C31" s="111"/>
      <c r="D31" s="111"/>
      <c r="E31" s="111"/>
      <c r="F31" s="111"/>
      <c r="G31" s="111"/>
      <c r="H31" s="111"/>
    </row>
    <row r="32" spans="1:14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23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3662.5157561999999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Three Thousand Six Hundred Sixty-Two and 52/100 -----------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1671-CA8A-4261-8408-98625085EB97}">
  <sheetPr codeName="Sheet496">
    <pageSetUpPr fitToPage="1"/>
  </sheetPr>
  <dimension ref="A1:I57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0.5703125" style="1" customWidth="1"/>
    <col min="4" max="4" width="23" style="1" customWidth="1"/>
    <col min="5" max="5" width="0.855468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B9" s="111"/>
      <c r="C9" s="111"/>
      <c r="D9" s="111"/>
      <c r="E9" s="111"/>
      <c r="F9" s="112" t="s">
        <v>1127</v>
      </c>
      <c r="G9" s="126" t="s">
        <v>4949</v>
      </c>
      <c r="H9" s="111"/>
    </row>
    <row r="10" spans="1:8">
      <c r="A10" s="111" t="s">
        <v>4951</v>
      </c>
      <c r="B10" s="111"/>
      <c r="C10" s="111"/>
      <c r="D10" s="111"/>
      <c r="E10" s="111"/>
      <c r="F10" s="112" t="s">
        <v>1162</v>
      </c>
      <c r="G10" s="160" t="s">
        <v>4950</v>
      </c>
      <c r="H10" s="111"/>
    </row>
    <row r="11" spans="1:8">
      <c r="A11" s="111" t="s">
        <v>4952</v>
      </c>
      <c r="B11" s="111"/>
      <c r="C11" s="111"/>
      <c r="D11" s="111"/>
      <c r="E11" s="111"/>
      <c r="F11" s="112" t="s">
        <v>1163</v>
      </c>
      <c r="G11" s="160" t="s">
        <v>1094</v>
      </c>
      <c r="H11" s="111"/>
    </row>
    <row r="12" spans="1:8">
      <c r="A12" s="111" t="s">
        <v>4953</v>
      </c>
      <c r="B12" s="111"/>
      <c r="C12" s="111"/>
      <c r="D12" s="111"/>
      <c r="E12" s="111"/>
      <c r="F12" s="112" t="s">
        <v>1135</v>
      </c>
      <c r="G12" s="160" t="s">
        <v>1270</v>
      </c>
      <c r="H12" s="111"/>
    </row>
    <row r="13" spans="1:8">
      <c r="A13" s="111"/>
      <c r="B13" s="111"/>
      <c r="C13" s="111"/>
      <c r="D13" s="111"/>
      <c r="E13" s="111"/>
      <c r="F13" s="111"/>
      <c r="G13" s="11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</row>
    <row r="18" spans="1:9">
      <c r="A18" s="116" t="s">
        <v>4942</v>
      </c>
      <c r="B18" s="116"/>
      <c r="C18" s="116"/>
      <c r="D18" s="120" t="s">
        <v>4955</v>
      </c>
      <c r="E18" s="120"/>
      <c r="F18" s="111"/>
      <c r="G18" s="111"/>
      <c r="H18" s="111"/>
    </row>
    <row r="19" spans="1:9">
      <c r="A19" s="116"/>
      <c r="B19" s="116"/>
      <c r="C19" s="116"/>
      <c r="E19" s="111"/>
      <c r="F19" s="111"/>
      <c r="G19" s="111"/>
      <c r="H19" s="111"/>
      <c r="I19" s="111"/>
    </row>
    <row r="20" spans="1:9">
      <c r="A20" s="116"/>
      <c r="B20" s="120"/>
      <c r="C20" s="120"/>
      <c r="D20" s="120" t="s">
        <v>4954</v>
      </c>
      <c r="E20" s="111"/>
      <c r="H20" s="111">
        <f>50000*3.9703</f>
        <v>198515</v>
      </c>
      <c r="I20" s="111"/>
    </row>
    <row r="21" spans="1:9">
      <c r="A21" s="116"/>
      <c r="B21" s="116"/>
      <c r="C21" s="116"/>
      <c r="D21" s="120"/>
      <c r="E21" s="120"/>
      <c r="F21" s="111"/>
      <c r="G21" s="111"/>
      <c r="H21" s="111"/>
      <c r="I21" s="111"/>
    </row>
    <row r="22" spans="1:9">
      <c r="A22" s="116"/>
      <c r="B22" s="116"/>
      <c r="C22" s="116"/>
      <c r="D22" s="120" t="s">
        <v>1697</v>
      </c>
      <c r="E22" s="120"/>
      <c r="F22" s="111"/>
      <c r="G22" s="111"/>
      <c r="H22" s="111">
        <v>30</v>
      </c>
      <c r="I22" s="111"/>
    </row>
    <row r="23" spans="1:9">
      <c r="A23" s="116"/>
      <c r="B23" s="116"/>
      <c r="C23" s="116"/>
      <c r="I23" s="111"/>
    </row>
    <row r="24" spans="1:9">
      <c r="A24" s="116"/>
      <c r="B24" s="116"/>
      <c r="C24" s="116"/>
      <c r="D24" s="111" t="s">
        <v>1814</v>
      </c>
      <c r="E24" s="111"/>
      <c r="F24" s="111"/>
      <c r="G24" s="111"/>
      <c r="H24" s="111">
        <f>H22*6%</f>
        <v>1.7999999999999998</v>
      </c>
      <c r="I24" s="111"/>
    </row>
    <row r="25" spans="1:9">
      <c r="A25" s="116"/>
      <c r="B25" s="116"/>
      <c r="C25" s="116"/>
      <c r="D25" s="111"/>
      <c r="E25" s="111"/>
      <c r="F25" s="111"/>
      <c r="G25" s="111"/>
      <c r="H25" s="111"/>
      <c r="I25" s="111"/>
    </row>
    <row r="26" spans="1:9">
      <c r="A26" s="116"/>
      <c r="B26" s="120"/>
      <c r="C26" s="120"/>
      <c r="D26" s="111" t="s">
        <v>4956</v>
      </c>
      <c r="E26" s="111"/>
      <c r="H26" s="111"/>
      <c r="I26" s="111"/>
    </row>
    <row r="27" spans="1:9">
      <c r="A27" s="116"/>
      <c r="B27" s="116"/>
      <c r="C27" s="116"/>
      <c r="D27" s="120"/>
      <c r="E27" s="120"/>
      <c r="F27" s="111"/>
      <c r="G27" s="111"/>
      <c r="H27" s="111"/>
      <c r="I27" s="111"/>
    </row>
    <row r="28" spans="1:9">
      <c r="A28" s="116"/>
      <c r="B28" s="116"/>
      <c r="C28" s="116"/>
      <c r="D28" s="120"/>
      <c r="E28" s="120"/>
      <c r="F28" s="111"/>
      <c r="G28" s="111"/>
      <c r="H28" s="111"/>
      <c r="I28" s="111"/>
    </row>
    <row r="29" spans="1:9">
      <c r="A29" s="116"/>
      <c r="B29" s="120"/>
      <c r="C29" s="120"/>
      <c r="D29" s="111"/>
      <c r="E29" s="111"/>
      <c r="F29" s="111"/>
      <c r="G29" s="111"/>
      <c r="H29" s="111"/>
      <c r="I29" s="111"/>
    </row>
    <row r="30" spans="1:9">
      <c r="A30" s="116"/>
      <c r="B30" s="120"/>
      <c r="C30" s="120"/>
      <c r="D30" s="111"/>
      <c r="E30" s="111"/>
      <c r="F30" s="111"/>
      <c r="G30" s="111"/>
      <c r="H30" s="111"/>
      <c r="I30" s="111"/>
    </row>
    <row r="31" spans="1:9">
      <c r="A31" s="116"/>
      <c r="B31" s="120"/>
      <c r="C31" s="120"/>
      <c r="D31" s="111"/>
      <c r="E31" s="111"/>
      <c r="F31" s="111"/>
      <c r="G31" s="111"/>
      <c r="H31" s="111"/>
      <c r="I31" s="111"/>
    </row>
    <row r="32" spans="1:9">
      <c r="A32" s="116"/>
      <c r="B32" s="120"/>
      <c r="C32" s="120"/>
      <c r="D32" s="111"/>
      <c r="E32" s="111"/>
      <c r="F32" s="111"/>
      <c r="G32" s="111"/>
      <c r="H32" s="111"/>
      <c r="I32" s="111"/>
    </row>
    <row r="33" spans="1:9">
      <c r="A33" s="116"/>
      <c r="B33" s="120"/>
      <c r="C33" s="120"/>
      <c r="D33" s="111"/>
      <c r="E33" s="111"/>
      <c r="F33" s="111"/>
      <c r="G33" s="111"/>
      <c r="H33" s="111"/>
      <c r="I33" s="111"/>
    </row>
    <row r="34" spans="1:9">
      <c r="A34" s="111"/>
      <c r="B34" s="111"/>
      <c r="C34" s="111"/>
      <c r="D34" s="111"/>
      <c r="E34" s="111"/>
      <c r="F34" s="111"/>
      <c r="G34" s="111"/>
      <c r="I34" s="111"/>
    </row>
    <row r="35" spans="1:9" ht="13.5" thickBot="1">
      <c r="A35" s="111"/>
      <c r="B35" s="111"/>
      <c r="C35" s="111"/>
      <c r="D35" s="111"/>
      <c r="E35" s="111"/>
      <c r="F35" s="111"/>
      <c r="G35" s="111"/>
      <c r="H35" s="117">
        <f>SUM(H18:H34)</f>
        <v>198546.8</v>
      </c>
      <c r="I35" s="111"/>
    </row>
    <row r="36" spans="1:9" ht="13.5" thickTop="1">
      <c r="A36" s="111"/>
      <c r="B36" s="111"/>
      <c r="C36" s="111"/>
      <c r="D36" s="111"/>
      <c r="E36" s="111"/>
      <c r="F36" s="111"/>
      <c r="G36" s="111"/>
      <c r="H36" s="111"/>
      <c r="I36" s="111"/>
    </row>
    <row r="37" spans="1:9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>One Hundred Ninety-Eight Thousand Five Hundred Forty-Six and 80/100 -----------</v>
      </c>
      <c r="C37" s="202"/>
      <c r="D37" s="119"/>
      <c r="E37" s="119"/>
      <c r="F37" s="119"/>
      <c r="G37" s="119"/>
      <c r="H37" s="119"/>
      <c r="I37" s="111"/>
    </row>
    <row r="38" spans="1:9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9" ht="25.5">
      <c r="A39" s="111" t="s">
        <v>10</v>
      </c>
      <c r="B39" s="111"/>
      <c r="C39" s="111"/>
      <c r="D39" s="123" t="s">
        <v>8</v>
      </c>
      <c r="E39" s="111"/>
      <c r="F39" s="265" t="s">
        <v>2894</v>
      </c>
      <c r="G39" s="266"/>
      <c r="H39" s="267"/>
    </row>
    <row r="40" spans="1:9">
      <c r="A40" s="111"/>
      <c r="B40" s="111"/>
      <c r="C40" s="111"/>
      <c r="D40" s="111"/>
      <c r="E40" s="111"/>
      <c r="F40" s="111"/>
      <c r="G40" s="111"/>
      <c r="H40" s="111"/>
    </row>
    <row r="41" spans="1:9">
      <c r="A41" s="126"/>
      <c r="B41" s="111"/>
      <c r="C41" s="111"/>
      <c r="D41" s="111"/>
      <c r="E41" s="111"/>
    </row>
    <row r="42" spans="1:9">
      <c r="A42" s="111"/>
      <c r="B42" s="111"/>
      <c r="C42" s="111"/>
      <c r="D42" s="111"/>
      <c r="E42" s="121"/>
      <c r="F42" s="111"/>
      <c r="G42" s="111"/>
      <c r="H42" s="111"/>
    </row>
    <row r="43" spans="1:9">
      <c r="A43" s="122"/>
      <c r="B43" s="122"/>
      <c r="C43" s="111"/>
      <c r="D43" s="122"/>
      <c r="E43" s="111"/>
      <c r="F43" s="111"/>
      <c r="G43" s="111"/>
      <c r="H43" s="111"/>
    </row>
    <row r="44" spans="1:9">
      <c r="B44" s="111"/>
      <c r="C44" s="111"/>
      <c r="D44" s="151" t="s">
        <v>103</v>
      </c>
      <c r="E44" s="111"/>
      <c r="F44" s="111"/>
      <c r="G44" s="111"/>
      <c r="H44" s="111"/>
    </row>
    <row r="45" spans="1:9">
      <c r="B45" s="111"/>
      <c r="C45" s="111"/>
      <c r="D45" s="151"/>
      <c r="E45" s="111"/>
      <c r="F45" s="111"/>
      <c r="G45" s="111"/>
      <c r="H45" s="111"/>
    </row>
    <row r="46" spans="1:9">
      <c r="A46" s="123" t="s">
        <v>8</v>
      </c>
      <c r="D46" s="123" t="s">
        <v>8</v>
      </c>
      <c r="E46" s="111"/>
      <c r="F46" s="123" t="s">
        <v>7</v>
      </c>
      <c r="G46" s="111"/>
      <c r="H46" s="124"/>
    </row>
    <row r="47" spans="1:9">
      <c r="A47" s="111"/>
      <c r="B47" s="111"/>
      <c r="C47" s="111"/>
      <c r="D47" s="111"/>
      <c r="E47" s="111"/>
      <c r="F47" s="111"/>
      <c r="G47" s="111"/>
      <c r="H47" s="111"/>
    </row>
    <row r="48" spans="1:9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22"/>
      <c r="B50" s="122"/>
      <c r="C50" s="111"/>
      <c r="D50" s="122"/>
      <c r="E50" s="111"/>
      <c r="F50" s="122"/>
      <c r="G50" s="122"/>
      <c r="H50" s="122"/>
    </row>
    <row r="51" spans="1:8" s="3" customFormat="1" ht="17.100000000000001" customHeight="1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</row>
    <row r="52" spans="1:8">
      <c r="A52" s="111"/>
      <c r="B52" s="111"/>
      <c r="C52" s="111"/>
      <c r="D52" s="111"/>
      <c r="E52" s="111"/>
      <c r="F52" s="111" t="s">
        <v>2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2" t="s">
        <v>1</v>
      </c>
      <c r="G54" s="111"/>
      <c r="H54" s="111"/>
    </row>
    <row r="55" spans="1:8">
      <c r="A55" s="111"/>
      <c r="B55" s="111"/>
      <c r="C55" s="111"/>
      <c r="D55" s="111"/>
      <c r="E55" s="111"/>
      <c r="F55" s="2" t="s">
        <v>0</v>
      </c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6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29BC3-13F7-4681-8D06-40C790ECCFE8}">
  <sheetPr codeName="Sheet556">
    <pageSetUpPr fitToPage="1"/>
  </sheetPr>
  <dimension ref="A1:O66"/>
  <sheetViews>
    <sheetView zoomScaleNormal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4" width="9.140625" style="1"/>
    <col min="15" max="15" width="10.5703125" style="1" bestFit="1" customWidth="1"/>
    <col min="16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5">
      <c r="A9" s="111"/>
      <c r="B9" s="111"/>
      <c r="C9" s="111"/>
      <c r="D9" s="111"/>
      <c r="E9" s="111"/>
      <c r="F9" s="112" t="s">
        <v>22</v>
      </c>
      <c r="G9" s="126" t="s">
        <v>5720</v>
      </c>
      <c r="H9" s="111"/>
    </row>
    <row r="10" spans="1:15">
      <c r="A10" s="111" t="s">
        <v>5721</v>
      </c>
      <c r="B10" s="111"/>
      <c r="C10" s="111"/>
      <c r="D10" s="111"/>
      <c r="E10" s="111"/>
      <c r="F10" s="112" t="s">
        <v>21</v>
      </c>
      <c r="G10" s="160" t="s">
        <v>5630</v>
      </c>
      <c r="H10" s="111"/>
      <c r="J10" s="21"/>
      <c r="K10" s="111"/>
      <c r="L10" s="111"/>
      <c r="M10" s="111"/>
    </row>
    <row r="11" spans="1:15">
      <c r="A11" s="111" t="s">
        <v>5722</v>
      </c>
      <c r="B11" s="111"/>
      <c r="C11" s="111"/>
      <c r="D11" s="111"/>
      <c r="E11" s="111"/>
      <c r="F11" s="112" t="s">
        <v>19</v>
      </c>
      <c r="G11" s="160" t="s">
        <v>1094</v>
      </c>
      <c r="H11" s="111"/>
      <c r="J11" s="336"/>
      <c r="K11" s="111"/>
    </row>
    <row r="12" spans="1:15">
      <c r="A12" s="111" t="s">
        <v>5723</v>
      </c>
      <c r="B12" s="111"/>
      <c r="C12" s="111"/>
      <c r="D12" s="111"/>
      <c r="E12" s="111"/>
      <c r="F12" s="112" t="s">
        <v>17</v>
      </c>
      <c r="G12" s="160" t="s">
        <v>1270</v>
      </c>
      <c r="H12" s="111"/>
      <c r="K12" s="111"/>
    </row>
    <row r="13" spans="1:15">
      <c r="A13" s="111" t="s">
        <v>5724</v>
      </c>
      <c r="B13" s="111"/>
      <c r="C13" s="111"/>
      <c r="D13" s="111"/>
      <c r="E13" s="111"/>
      <c r="F13" s="111"/>
      <c r="G13" s="131"/>
      <c r="H13" s="111"/>
      <c r="K13" s="111"/>
    </row>
    <row r="14" spans="1:15">
      <c r="A14" s="111"/>
      <c r="B14" s="111"/>
      <c r="C14" s="111"/>
      <c r="D14" s="111"/>
      <c r="E14" s="111"/>
      <c r="F14" s="111"/>
      <c r="G14" s="131"/>
      <c r="H14" s="111"/>
    </row>
    <row r="15" spans="1:15">
      <c r="A15" s="111"/>
      <c r="B15" s="111"/>
      <c r="C15" s="111"/>
      <c r="D15" s="111"/>
      <c r="E15" s="111"/>
      <c r="F15" s="111"/>
      <c r="G15" s="111"/>
      <c r="H15" s="111"/>
      <c r="K15" s="111"/>
      <c r="L15" s="111"/>
      <c r="M15" s="111"/>
      <c r="N15" s="111"/>
      <c r="O15" s="111"/>
    </row>
    <row r="16" spans="1:15" s="15" customFormat="1" ht="20.100000000000001" customHeight="1">
      <c r="A16" s="18" t="s">
        <v>1140</v>
      </c>
      <c r="B16" s="444" t="s">
        <v>1098</v>
      </c>
      <c r="C16" s="444"/>
      <c r="D16" s="19" t="s">
        <v>14</v>
      </c>
      <c r="E16" s="19"/>
      <c r="F16" s="18"/>
      <c r="G16" s="17"/>
      <c r="H16" s="16" t="s">
        <v>13</v>
      </c>
      <c r="K16" s="111"/>
      <c r="L16" s="1"/>
      <c r="M16" s="1"/>
      <c r="N16" s="1"/>
      <c r="O16" s="111"/>
    </row>
    <row r="17" spans="1:15">
      <c r="A17" s="111"/>
      <c r="B17" s="111"/>
      <c r="C17" s="111"/>
      <c r="D17" s="111"/>
      <c r="E17" s="111"/>
      <c r="F17" s="111"/>
      <c r="G17" s="111"/>
      <c r="H17" s="111"/>
      <c r="K17" s="111"/>
      <c r="O17" s="111"/>
    </row>
    <row r="18" spans="1:15">
      <c r="A18" s="111"/>
      <c r="B18" s="111"/>
      <c r="C18" s="111"/>
      <c r="D18" s="2" t="s">
        <v>5686</v>
      </c>
      <c r="E18" s="2"/>
      <c r="F18" s="111"/>
      <c r="G18" s="111"/>
      <c r="H18" s="111"/>
    </row>
    <row r="19" spans="1:15">
      <c r="A19" s="111"/>
      <c r="B19" s="111"/>
      <c r="C19" s="111"/>
      <c r="D19" s="2" t="s">
        <v>5714</v>
      </c>
      <c r="E19" s="2"/>
      <c r="F19" s="111"/>
      <c r="G19" s="111"/>
      <c r="H19" s="111"/>
      <c r="K19" s="111"/>
      <c r="L19" s="111"/>
      <c r="M19" s="111"/>
      <c r="N19" s="111"/>
      <c r="O19" s="111"/>
    </row>
    <row r="20" spans="1:15">
      <c r="A20" s="116"/>
      <c r="B20" s="116"/>
      <c r="C20" s="116"/>
      <c r="D20" s="111"/>
      <c r="E20" s="111"/>
      <c r="F20" s="111"/>
      <c r="G20" s="111"/>
      <c r="H20" s="111"/>
      <c r="K20" s="111"/>
      <c r="L20" s="111"/>
      <c r="M20" s="111"/>
      <c r="N20" s="111"/>
      <c r="O20" s="111"/>
    </row>
    <row r="21" spans="1:15">
      <c r="A21" s="120" t="s">
        <v>11</v>
      </c>
      <c r="B21" s="120" t="s">
        <v>5725</v>
      </c>
      <c r="C21" s="120"/>
      <c r="D21" s="111" t="s">
        <v>5726</v>
      </c>
      <c r="H21" s="111">
        <f>408*4.1563</f>
        <v>1695.7703999999999</v>
      </c>
      <c r="K21" s="111"/>
      <c r="L21" s="111"/>
      <c r="O21" s="111"/>
    </row>
    <row r="22" spans="1:15">
      <c r="A22" s="116"/>
      <c r="B22" s="116"/>
      <c r="C22" s="116"/>
      <c r="D22" s="111"/>
      <c r="H22" s="111"/>
    </row>
    <row r="23" spans="1:15">
      <c r="D23" s="111" t="s">
        <v>5727</v>
      </c>
      <c r="K23" s="111"/>
      <c r="O23" s="111"/>
    </row>
    <row r="24" spans="1:15">
      <c r="A24" s="116"/>
      <c r="B24" s="116"/>
      <c r="C24" s="120"/>
      <c r="D24" s="111"/>
      <c r="H24" s="111"/>
      <c r="K24" s="111"/>
      <c r="L24" s="111"/>
    </row>
    <row r="25" spans="1:15">
      <c r="A25" s="116"/>
      <c r="B25" s="116"/>
      <c r="C25" s="116"/>
      <c r="D25" s="111" t="s">
        <v>1697</v>
      </c>
      <c r="E25" s="111"/>
      <c r="F25" s="111"/>
      <c r="G25" s="111"/>
      <c r="H25" s="111">
        <v>30</v>
      </c>
      <c r="K25" s="111"/>
      <c r="L25" s="111"/>
      <c r="M25" s="111"/>
      <c r="N25" s="111"/>
      <c r="O25" s="111"/>
    </row>
    <row r="26" spans="1:15">
      <c r="A26" s="111"/>
      <c r="B26" s="111"/>
      <c r="C26" s="111"/>
      <c r="D26" s="111"/>
      <c r="E26" s="111"/>
      <c r="F26" s="111"/>
      <c r="G26" s="111"/>
      <c r="H26" s="111"/>
      <c r="K26" s="111"/>
      <c r="O26" s="111"/>
    </row>
    <row r="27" spans="1:15">
      <c r="A27" s="116"/>
      <c r="B27" s="116"/>
      <c r="C27" s="120"/>
      <c r="D27" s="111"/>
      <c r="E27" s="111"/>
      <c r="H27" s="111"/>
      <c r="K27" s="111"/>
      <c r="O27" s="111"/>
    </row>
    <row r="28" spans="1:15">
      <c r="A28" s="111"/>
      <c r="B28" s="111"/>
      <c r="C28" s="111"/>
      <c r="D28" s="111"/>
      <c r="K28" s="111"/>
      <c r="O28" s="111"/>
    </row>
    <row r="29" spans="1:15">
      <c r="A29" s="111"/>
      <c r="B29" s="111"/>
      <c r="C29" s="111"/>
      <c r="D29" s="111"/>
      <c r="H29" s="111"/>
      <c r="K29" s="111"/>
      <c r="L29" s="111"/>
      <c r="M29" s="111"/>
      <c r="N29" s="111"/>
      <c r="O29" s="111"/>
    </row>
    <row r="30" spans="1:15">
      <c r="A30" s="111"/>
      <c r="B30" s="120"/>
      <c r="C30" s="120"/>
      <c r="D30" s="111"/>
      <c r="H30" s="111"/>
      <c r="K30" s="111"/>
      <c r="L30" s="111"/>
      <c r="M30" s="111"/>
      <c r="N30" s="111"/>
      <c r="O30" s="111"/>
    </row>
    <row r="31" spans="1:15">
      <c r="A31" s="111"/>
      <c r="B31" s="111"/>
      <c r="C31" s="111"/>
    </row>
    <row r="32" spans="1:15">
      <c r="A32" s="111"/>
      <c r="B32" s="111"/>
      <c r="C32" s="111"/>
    </row>
    <row r="33" spans="1:8">
      <c r="A33" s="111"/>
      <c r="B33" s="111"/>
      <c r="C33" s="111"/>
    </row>
    <row r="34" spans="1:8">
      <c r="A34" s="111"/>
      <c r="B34" s="111"/>
      <c r="C34" s="111"/>
    </row>
    <row r="35" spans="1:8">
      <c r="A35" s="111"/>
      <c r="B35" s="111"/>
      <c r="C35" s="111"/>
    </row>
    <row r="36" spans="1:8">
      <c r="A36" s="111"/>
      <c r="B36" s="111"/>
      <c r="C36" s="111"/>
      <c r="D36" s="111"/>
      <c r="E36" s="111"/>
      <c r="F36" s="111"/>
      <c r="G36" s="111"/>
      <c r="H36" s="111"/>
    </row>
    <row r="37" spans="1:8" ht="13.5" thickBot="1">
      <c r="A37" s="111"/>
      <c r="B37" s="111"/>
      <c r="C37" s="111"/>
      <c r="D37" s="111"/>
      <c r="E37" s="111"/>
      <c r="F37" s="111"/>
      <c r="G37" s="111"/>
      <c r="H37" s="117">
        <f>SUM(H18:H31)</f>
        <v>1725.7703999999999</v>
      </c>
    </row>
    <row r="38" spans="1:8" ht="13.5" thickTop="1">
      <c r="A38" s="111"/>
      <c r="B38" s="111"/>
      <c r="C38" s="111"/>
      <c r="D38" s="111"/>
      <c r="E38" s="111"/>
    </row>
    <row r="39" spans="1:8" ht="20.100000000000001" customHeight="1">
      <c r="A39" s="118" t="s">
        <v>204</v>
      </c>
      <c r="B39" s="204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One Thousand Seven Hundred Twenty-Five and 77/100 -----------</v>
      </c>
      <c r="C39" s="204"/>
      <c r="D39" s="119"/>
      <c r="E39" s="119"/>
      <c r="F39" s="119"/>
      <c r="G39" s="119"/>
      <c r="H39" s="119"/>
    </row>
    <row r="40" spans="1:8" ht="20.100000000000001" customHeight="1">
      <c r="A40" s="160"/>
      <c r="B40" s="145"/>
      <c r="C40" s="145"/>
      <c r="D40" s="126"/>
      <c r="E40" s="126"/>
      <c r="F40" s="126"/>
      <c r="G40" s="126"/>
      <c r="H40" s="126"/>
    </row>
    <row r="41" spans="1:8" ht="25.5">
      <c r="A41" s="120" t="s">
        <v>3060</v>
      </c>
      <c r="B41" s="111"/>
      <c r="C41" s="111"/>
      <c r="D41" s="111"/>
      <c r="E41" s="111"/>
      <c r="F41" s="265" t="s">
        <v>2894</v>
      </c>
      <c r="G41" s="266"/>
      <c r="H41" s="267"/>
    </row>
    <row r="42" spans="1:8">
      <c r="A42" s="111"/>
      <c r="B42" s="111"/>
      <c r="C42" s="111"/>
      <c r="D42" s="111"/>
      <c r="E42" s="111"/>
      <c r="F42" s="310"/>
      <c r="G42" s="311"/>
      <c r="H42" s="311"/>
    </row>
    <row r="43" spans="1:8">
      <c r="B43" s="111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2"/>
      <c r="B45" s="122"/>
      <c r="C45" s="111"/>
      <c r="D45" s="111"/>
      <c r="E45" s="111"/>
      <c r="F45" s="111"/>
      <c r="G45" s="111"/>
      <c r="H45" s="111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23" t="s">
        <v>8</v>
      </c>
      <c r="B47" s="111"/>
      <c r="C47" s="111"/>
      <c r="D47" s="123" t="s">
        <v>8</v>
      </c>
      <c r="E47" s="111"/>
      <c r="F47" s="123" t="s">
        <v>7</v>
      </c>
      <c r="G47" s="111"/>
      <c r="H47" s="124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11"/>
      <c r="B50" s="111"/>
      <c r="C50" s="111"/>
      <c r="D50" s="111"/>
      <c r="E50" s="111"/>
      <c r="F50" s="111"/>
      <c r="G50" s="111"/>
      <c r="H50" s="111"/>
    </row>
    <row r="51" spans="1:8">
      <c r="A51" s="122"/>
      <c r="B51" s="122"/>
      <c r="C51" s="111"/>
      <c r="D51" s="122"/>
      <c r="E51" s="111"/>
      <c r="F51" s="122"/>
      <c r="G51" s="122"/>
      <c r="H51" s="122"/>
    </row>
    <row r="52" spans="1:8" s="3" customFormat="1" ht="17.100000000000001" customHeight="1">
      <c r="A52" s="151" t="s">
        <v>2948</v>
      </c>
      <c r="B52" s="125"/>
      <c r="C52" s="125"/>
      <c r="D52" s="151" t="s">
        <v>103</v>
      </c>
      <c r="E52" s="126"/>
      <c r="F52" s="126" t="s">
        <v>3</v>
      </c>
      <c r="G52" s="126"/>
      <c r="H52" s="126"/>
    </row>
    <row r="53" spans="1:8">
      <c r="A53" s="111"/>
      <c r="B53" s="111"/>
      <c r="C53" s="111"/>
      <c r="D53" s="111"/>
      <c r="E53" s="111"/>
      <c r="F53" s="111" t="s">
        <v>2</v>
      </c>
      <c r="G53" s="111"/>
      <c r="H53" s="111"/>
    </row>
    <row r="54" spans="1:8">
      <c r="A54" s="111"/>
      <c r="B54" s="111"/>
      <c r="C54" s="111"/>
      <c r="D54" s="111"/>
      <c r="E54" s="111"/>
      <c r="F54" s="111"/>
      <c r="G54" s="111"/>
      <c r="H54" s="111"/>
    </row>
    <row r="55" spans="1:8">
      <c r="A55" s="111"/>
      <c r="B55" s="111"/>
      <c r="C55" s="111"/>
      <c r="D55" s="111"/>
      <c r="E55" s="111"/>
      <c r="F55" s="2" t="s">
        <v>1</v>
      </c>
      <c r="G55" s="111"/>
      <c r="H55" s="111"/>
    </row>
    <row r="56" spans="1:8">
      <c r="A56" s="111"/>
      <c r="B56" s="111"/>
      <c r="C56" s="111"/>
      <c r="D56" s="111"/>
      <c r="E56" s="111"/>
      <c r="F56" s="2" t="s">
        <v>0</v>
      </c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  <row r="58" spans="1:8">
      <c r="A58" s="111"/>
      <c r="B58" s="111"/>
      <c r="C58" s="111"/>
      <c r="D58" s="111"/>
      <c r="E58" s="111"/>
      <c r="F58" s="111"/>
      <c r="G58" s="111"/>
      <c r="H58" s="111"/>
    </row>
    <row r="59" spans="1:8">
      <c r="A59" s="111"/>
      <c r="B59" s="111"/>
      <c r="C59" s="111"/>
      <c r="D59" s="111"/>
      <c r="E59" s="111"/>
      <c r="F59" s="111"/>
      <c r="G59" s="111"/>
      <c r="H59" s="111"/>
    </row>
    <row r="60" spans="1:8">
      <c r="A60" s="111"/>
      <c r="B60" s="111"/>
      <c r="C60" s="111"/>
      <c r="D60" s="111"/>
      <c r="E60" s="111"/>
      <c r="F60" s="111"/>
      <c r="G60" s="111"/>
      <c r="H60" s="111"/>
    </row>
    <row r="61" spans="1:8">
      <c r="A61" s="111"/>
      <c r="B61" s="111"/>
      <c r="C61" s="111"/>
      <c r="D61" s="111"/>
      <c r="E61" s="111"/>
      <c r="F61" s="111"/>
      <c r="G61" s="111"/>
      <c r="H61" s="111"/>
    </row>
    <row r="62" spans="1:8">
      <c r="A62" s="111"/>
      <c r="B62" s="111"/>
      <c r="C62" s="111"/>
      <c r="D62" s="111"/>
      <c r="E62" s="111"/>
      <c r="F62" s="111"/>
      <c r="G62" s="111"/>
      <c r="H62" s="111"/>
    </row>
    <row r="63" spans="1:8">
      <c r="A63" s="111"/>
      <c r="B63" s="111"/>
      <c r="C63" s="111"/>
      <c r="D63" s="111"/>
      <c r="E63" s="111"/>
      <c r="F63" s="111"/>
      <c r="G63" s="111"/>
      <c r="H63" s="111"/>
    </row>
    <row r="64" spans="1:8">
      <c r="A64" s="111"/>
      <c r="B64" s="111"/>
      <c r="C64" s="111"/>
      <c r="D64" s="111"/>
      <c r="E64" s="111"/>
      <c r="F64" s="111"/>
      <c r="G64" s="111"/>
      <c r="H64" s="111"/>
    </row>
    <row r="65" spans="1:8">
      <c r="A65" s="111"/>
      <c r="B65" s="111"/>
      <c r="C65" s="111"/>
      <c r="D65" s="111"/>
      <c r="E65" s="111"/>
      <c r="F65" s="111"/>
      <c r="G65" s="111"/>
      <c r="H65" s="111"/>
    </row>
    <row r="66" spans="1:8">
      <c r="A66" s="111"/>
      <c r="B66" s="111"/>
      <c r="C66" s="111"/>
      <c r="D66" s="111"/>
      <c r="E66" s="111"/>
      <c r="F66" s="111"/>
      <c r="G66" s="111"/>
      <c r="H6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6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57C7E-289A-49B8-8BCC-725F98BD9F47}">
  <sheetPr codeName="Sheet572">
    <pageSetUpPr fitToPage="1"/>
  </sheetPr>
  <dimension ref="A1:H56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140625" style="111" customWidth="1"/>
    <col min="4" max="4" width="22.42578125" style="111" customWidth="1"/>
    <col min="5" max="5" width="0.570312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32" t="s">
        <v>5899</v>
      </c>
      <c r="H9" s="131"/>
    </row>
    <row r="10" spans="1:8">
      <c r="A10" s="111" t="s">
        <v>5901</v>
      </c>
      <c r="F10" s="112" t="s">
        <v>1180</v>
      </c>
      <c r="G10" s="132" t="s">
        <v>5880</v>
      </c>
      <c r="H10" s="131"/>
    </row>
    <row r="11" spans="1:8">
      <c r="A11" s="111" t="s">
        <v>5902</v>
      </c>
      <c r="F11" s="112" t="s">
        <v>1181</v>
      </c>
      <c r="G11" s="132" t="s">
        <v>1094</v>
      </c>
      <c r="H11" s="131"/>
    </row>
    <row r="12" spans="1:8">
      <c r="A12" s="111" t="s">
        <v>5903</v>
      </c>
      <c r="F12" s="112" t="s">
        <v>1182</v>
      </c>
      <c r="G12" s="120" t="s">
        <v>5900</v>
      </c>
      <c r="H12" s="131"/>
    </row>
    <row r="13" spans="1:8">
      <c r="A13" s="111" t="s">
        <v>1535</v>
      </c>
      <c r="G13" s="111" t="s">
        <v>5775</v>
      </c>
    </row>
    <row r="14" spans="1:8">
      <c r="A14" s="111" t="s">
        <v>5904</v>
      </c>
    </row>
    <row r="16" spans="1:8" s="15" customFormat="1" ht="20.100000000000001" customHeight="1">
      <c r="A16" s="18" t="s">
        <v>1193</v>
      </c>
      <c r="B16" s="461" t="s">
        <v>1098</v>
      </c>
      <c r="C16" s="461"/>
      <c r="D16" s="19" t="s">
        <v>14</v>
      </c>
      <c r="E16" s="19"/>
      <c r="F16" s="18"/>
      <c r="G16" s="17"/>
      <c r="H16" s="16" t="s">
        <v>13</v>
      </c>
    </row>
    <row r="18" spans="1:8">
      <c r="A18" s="116"/>
      <c r="B18" s="116"/>
      <c r="C18" s="116"/>
      <c r="D18" s="2" t="s">
        <v>5905</v>
      </c>
      <c r="E18" s="2"/>
    </row>
    <row r="19" spans="1:8">
      <c r="A19" s="116"/>
      <c r="B19" s="121"/>
      <c r="C19" s="121"/>
    </row>
    <row r="20" spans="1:8">
      <c r="A20" s="116" t="s">
        <v>5898</v>
      </c>
      <c r="B20" s="116" t="s">
        <v>5906</v>
      </c>
      <c r="C20" s="116"/>
      <c r="D20" s="111" t="s">
        <v>5907</v>
      </c>
    </row>
    <row r="21" spans="1:8">
      <c r="D21" s="111" t="s">
        <v>5908</v>
      </c>
      <c r="H21" s="111">
        <v>578</v>
      </c>
    </row>
    <row r="22" spans="1:8">
      <c r="A22" s="116"/>
      <c r="B22" s="121"/>
      <c r="D22" s="111" t="s">
        <v>5909</v>
      </c>
      <c r="H22" s="111">
        <v>144.5</v>
      </c>
    </row>
    <row r="23" spans="1:8">
      <c r="A23" s="116"/>
      <c r="B23" s="116"/>
      <c r="C23" s="116"/>
    </row>
    <row r="24" spans="1:8">
      <c r="A24" s="116"/>
      <c r="B24" s="116"/>
      <c r="C24" s="116"/>
      <c r="D24" s="111" t="s">
        <v>5910</v>
      </c>
      <c r="H24" s="111">
        <v>535</v>
      </c>
    </row>
    <row r="25" spans="1:8">
      <c r="A25" s="116"/>
      <c r="B25" s="121"/>
      <c r="C25" s="121"/>
      <c r="D25" s="111" t="s">
        <v>5911</v>
      </c>
      <c r="H25" s="111">
        <v>147.5</v>
      </c>
    </row>
    <row r="26" spans="1:8">
      <c r="A26" s="116"/>
      <c r="B26" s="121"/>
      <c r="C26" s="121"/>
    </row>
    <row r="27" spans="1:8">
      <c r="A27" s="116"/>
      <c r="B27" s="121"/>
      <c r="C27" s="121"/>
      <c r="D27" s="111" t="s">
        <v>5912</v>
      </c>
      <c r="E27" s="2"/>
      <c r="H27" s="111">
        <v>300</v>
      </c>
    </row>
    <row r="28" spans="1:8">
      <c r="A28" s="116"/>
      <c r="B28" s="121"/>
      <c r="C28" s="121"/>
    </row>
    <row r="29" spans="1:8">
      <c r="A29" s="116"/>
      <c r="B29" s="121"/>
      <c r="C29" s="121"/>
    </row>
    <row r="35" spans="1:8">
      <c r="A35" s="116"/>
      <c r="B35" s="121"/>
      <c r="C35" s="121"/>
    </row>
    <row r="36" spans="1:8">
      <c r="A36" s="116"/>
      <c r="B36" s="121"/>
      <c r="C36" s="121"/>
      <c r="H36" s="122"/>
    </row>
    <row r="37" spans="1:8" ht="13.5" thickBot="1">
      <c r="B37" s="121"/>
      <c r="C37" s="121"/>
      <c r="H37" s="127">
        <f>SUM(H18:H35)</f>
        <v>1705</v>
      </c>
    </row>
    <row r="38" spans="1:8" ht="13.5" thickTop="1"/>
    <row r="39" spans="1:8" ht="20.100000000000001" customHeight="1">
      <c r="A39" s="118" t="s">
        <v>204</v>
      </c>
      <c r="B39" s="202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One Thousand Seven Hundred Five and NO/100 -----------</v>
      </c>
      <c r="C39" s="202"/>
      <c r="D39" s="119"/>
      <c r="E39" s="119"/>
      <c r="F39" s="119"/>
      <c r="G39" s="119"/>
      <c r="H39" s="119"/>
    </row>
    <row r="40" spans="1:8">
      <c r="A40" s="120" t="s">
        <v>11</v>
      </c>
    </row>
    <row r="41" spans="1:8" ht="25.5">
      <c r="A41" s="126" t="s">
        <v>10</v>
      </c>
      <c r="F41" s="265" t="s">
        <v>2894</v>
      </c>
      <c r="G41" s="266"/>
      <c r="H41" s="267"/>
    </row>
    <row r="44" spans="1:8">
      <c r="A44" s="111" t="s">
        <v>52</v>
      </c>
      <c r="D44" s="121"/>
      <c r="E44" s="121"/>
    </row>
    <row r="45" spans="1:8">
      <c r="A45" s="122"/>
      <c r="B45" s="122"/>
      <c r="C45" s="433"/>
    </row>
    <row r="47" spans="1:8">
      <c r="A47" s="123" t="s">
        <v>8</v>
      </c>
      <c r="D47" s="123" t="s">
        <v>8</v>
      </c>
      <c r="F47" s="123" t="s">
        <v>7</v>
      </c>
      <c r="H47" s="124"/>
    </row>
    <row r="51" spans="1:8">
      <c r="A51" s="122" t="s">
        <v>51</v>
      </c>
      <c r="B51" s="122"/>
      <c r="C51" s="433"/>
      <c r="D51" s="122" t="s">
        <v>51</v>
      </c>
      <c r="F51" s="122"/>
      <c r="G51" s="122"/>
      <c r="H51" s="122"/>
    </row>
    <row r="52" spans="1:8" s="126" customFormat="1" ht="17.100000000000001" customHeight="1">
      <c r="A52" s="151" t="s">
        <v>2948</v>
      </c>
      <c r="B52" s="125"/>
      <c r="C52" s="125"/>
      <c r="D52" s="151" t="s">
        <v>103</v>
      </c>
      <c r="F52" s="126" t="s">
        <v>3</v>
      </c>
    </row>
    <row r="53" spans="1:8">
      <c r="F53" s="111" t="s">
        <v>2</v>
      </c>
    </row>
    <row r="55" spans="1:8">
      <c r="F55" s="2" t="s">
        <v>1</v>
      </c>
    </row>
    <row r="56" spans="1:8">
      <c r="F56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6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101CF-AFFC-4C00-B3BA-8D00678C6342}">
  <sheetPr codeName="Sheet573"/>
  <dimension ref="A1:O56"/>
  <sheetViews>
    <sheetView view="pageBreakPreview" topLeftCell="A4" zoomScale="115" zoomScaleNormal="100" zoomScaleSheetLayoutView="115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0.7109375" style="1" customWidth="1"/>
    <col min="4" max="4" width="23" style="1" customWidth="1"/>
    <col min="5" max="5" width="0.85546875" style="1" customWidth="1"/>
    <col min="6" max="6" width="13.85546875" style="1" customWidth="1"/>
    <col min="7" max="7" width="9" style="1" customWidth="1"/>
    <col min="8" max="8" width="11.7109375" style="1" customWidth="1"/>
    <col min="9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  <c r="J8" s="1" t="s">
        <v>6627</v>
      </c>
      <c r="K8" s="1">
        <v>43955</v>
      </c>
      <c r="L8" s="1" t="s">
        <v>6628</v>
      </c>
      <c r="M8" s="1" t="s">
        <v>5845</v>
      </c>
    </row>
    <row r="9" spans="1:15">
      <c r="B9" s="111"/>
      <c r="C9" s="111"/>
      <c r="D9" s="111"/>
      <c r="E9" s="111"/>
      <c r="F9" s="112" t="s">
        <v>1127</v>
      </c>
      <c r="G9" s="489" t="s">
        <v>6627</v>
      </c>
      <c r="H9" s="111"/>
    </row>
    <row r="10" spans="1:15">
      <c r="A10" s="111" t="s">
        <v>5841</v>
      </c>
      <c r="B10" s="111"/>
      <c r="C10" s="111"/>
      <c r="D10" s="111"/>
      <c r="E10" s="111"/>
      <c r="F10" s="112" t="s">
        <v>1162</v>
      </c>
      <c r="G10" s="489" t="s">
        <v>6629</v>
      </c>
      <c r="H10" s="111"/>
    </row>
    <row r="11" spans="1:15">
      <c r="A11" s="111" t="s">
        <v>5842</v>
      </c>
      <c r="B11" s="111"/>
      <c r="C11" s="111"/>
      <c r="D11" s="111"/>
      <c r="E11" s="111"/>
      <c r="F11" s="112" t="s">
        <v>1163</v>
      </c>
      <c r="G11" s="489" t="s">
        <v>1094</v>
      </c>
      <c r="H11" s="111"/>
    </row>
    <row r="12" spans="1:15">
      <c r="A12" s="111" t="s">
        <v>5843</v>
      </c>
      <c r="B12" s="111"/>
      <c r="C12" s="111"/>
      <c r="D12" s="111"/>
      <c r="E12" s="111"/>
      <c r="F12" s="112" t="s">
        <v>1096</v>
      </c>
      <c r="G12" s="486" t="s">
        <v>6628</v>
      </c>
      <c r="H12" s="111"/>
    </row>
    <row r="13" spans="1:15">
      <c r="A13" s="111" t="s">
        <v>4197</v>
      </c>
      <c r="B13" s="111"/>
      <c r="C13" s="111"/>
      <c r="D13" s="111"/>
      <c r="E13" s="111"/>
      <c r="F13" s="111"/>
      <c r="G13" s="483" t="s">
        <v>5914</v>
      </c>
      <c r="H13" s="111"/>
      <c r="K13" s="483" t="s">
        <v>6530</v>
      </c>
      <c r="L13" s="483"/>
      <c r="M13" s="483"/>
      <c r="N13" s="483"/>
      <c r="O13" s="483">
        <f>(496730*15%)/106%</f>
        <v>70291.981132075467</v>
      </c>
    </row>
    <row r="14" spans="1:15">
      <c r="A14" s="111"/>
      <c r="B14" s="111"/>
      <c r="C14" s="111"/>
      <c r="D14" s="111"/>
      <c r="E14" s="111"/>
      <c r="F14" s="111"/>
      <c r="G14" s="111"/>
      <c r="H14" s="111"/>
      <c r="K14" s="483" t="s">
        <v>5175</v>
      </c>
      <c r="L14" s="483"/>
      <c r="N14" s="483"/>
      <c r="O14" s="483">
        <f>O13*6%</f>
        <v>4217.5188679245275</v>
      </c>
    </row>
    <row r="15" spans="1:15">
      <c r="A15" s="111"/>
      <c r="B15" s="111"/>
      <c r="C15" s="111"/>
      <c r="D15" s="111"/>
      <c r="E15" s="111"/>
      <c r="F15" s="111"/>
      <c r="G15" s="111"/>
      <c r="H15" s="111"/>
      <c r="K15" s="483"/>
      <c r="L15" s="483"/>
      <c r="M15" s="483"/>
      <c r="N15" s="483"/>
      <c r="O15" s="483"/>
    </row>
    <row r="16" spans="1:15" s="15" customFormat="1" ht="20.100000000000001" customHeight="1">
      <c r="A16" s="18" t="s">
        <v>1122</v>
      </c>
      <c r="B16" s="455" t="s">
        <v>1098</v>
      </c>
      <c r="C16" s="455"/>
      <c r="D16" s="19" t="s">
        <v>14</v>
      </c>
      <c r="E16" s="19"/>
      <c r="F16" s="18"/>
      <c r="G16" s="17"/>
      <c r="H16" s="16" t="s">
        <v>13</v>
      </c>
      <c r="K16" s="167" t="s">
        <v>6531</v>
      </c>
      <c r="L16" s="483"/>
      <c r="M16" s="483"/>
      <c r="N16" s="483"/>
      <c r="O16" s="483"/>
    </row>
    <row r="17" spans="1:15">
      <c r="A17" s="111"/>
      <c r="B17" s="111"/>
      <c r="C17" s="111"/>
      <c r="D17" s="111"/>
      <c r="E17" s="111"/>
      <c r="F17" s="111"/>
      <c r="G17" s="111"/>
      <c r="H17" s="111"/>
      <c r="K17" s="167" t="s">
        <v>6532</v>
      </c>
      <c r="L17" s="483"/>
      <c r="M17" s="483"/>
      <c r="N17" s="483"/>
      <c r="O17" s="483"/>
    </row>
    <row r="18" spans="1:15">
      <c r="A18" s="116"/>
      <c r="B18" s="241"/>
      <c r="C18" s="241"/>
      <c r="D18" s="2" t="s">
        <v>5844</v>
      </c>
      <c r="E18" s="2"/>
      <c r="F18" s="111"/>
      <c r="G18" s="111"/>
      <c r="H18" s="111"/>
      <c r="I18" s="242"/>
      <c r="K18" s="167" t="s">
        <v>6533</v>
      </c>
      <c r="L18" s="483"/>
      <c r="M18" s="483"/>
      <c r="N18" s="483"/>
      <c r="O18" s="483"/>
    </row>
    <row r="19" spans="1:15">
      <c r="A19" s="116"/>
      <c r="B19" s="241"/>
      <c r="C19" s="241"/>
      <c r="D19" s="2"/>
      <c r="E19" s="2"/>
      <c r="F19" s="111"/>
      <c r="G19" s="111"/>
      <c r="H19" s="111"/>
      <c r="I19" s="111"/>
      <c r="K19" s="167"/>
      <c r="L19" s="483"/>
      <c r="M19" s="483"/>
      <c r="N19" s="483"/>
      <c r="O19" s="483"/>
    </row>
    <row r="20" spans="1:15">
      <c r="A20" s="485" t="s">
        <v>6630</v>
      </c>
      <c r="B20" s="335" t="s">
        <v>6631</v>
      </c>
      <c r="C20" s="409"/>
      <c r="D20" s="111" t="s">
        <v>6632</v>
      </c>
      <c r="E20" s="111"/>
      <c r="F20" s="111"/>
      <c r="G20" s="111"/>
      <c r="H20" s="111">
        <v>5300</v>
      </c>
      <c r="I20" s="111"/>
      <c r="K20" s="167" t="s">
        <v>6534</v>
      </c>
      <c r="L20" s="483"/>
      <c r="M20" s="483"/>
      <c r="N20" s="483"/>
      <c r="O20" s="483"/>
    </row>
    <row r="21" spans="1:15">
      <c r="D21" s="111" t="s">
        <v>5175</v>
      </c>
      <c r="E21" s="111"/>
      <c r="G21" s="111"/>
      <c r="H21" s="111">
        <f>H20*6%</f>
        <v>318</v>
      </c>
      <c r="I21" s="111"/>
      <c r="K21" s="167"/>
      <c r="L21" s="483"/>
      <c r="M21" s="483"/>
      <c r="N21" s="483"/>
      <c r="O21" s="483"/>
    </row>
    <row r="22" spans="1:15">
      <c r="A22" s="111"/>
      <c r="B22" s="313"/>
      <c r="C22" s="313"/>
      <c r="D22" s="111"/>
      <c r="E22" s="111"/>
      <c r="F22" s="111"/>
      <c r="G22" s="111"/>
      <c r="H22" s="111"/>
      <c r="I22" s="111"/>
      <c r="K22" s="167"/>
      <c r="L22" s="483"/>
      <c r="M22" s="483"/>
      <c r="N22" s="483"/>
      <c r="O22" s="483"/>
    </row>
    <row r="23" spans="1:15">
      <c r="A23" s="120"/>
      <c r="B23" s="241"/>
      <c r="C23" s="241"/>
      <c r="D23" s="167"/>
      <c r="E23" s="111"/>
      <c r="F23" s="111"/>
      <c r="G23" s="111"/>
      <c r="H23" s="111"/>
      <c r="I23" s="111"/>
    </row>
    <row r="24" spans="1:15">
      <c r="A24" s="111"/>
      <c r="B24" s="111"/>
      <c r="C24" s="111"/>
      <c r="D24" s="167"/>
      <c r="E24" s="111"/>
      <c r="F24" s="111"/>
      <c r="G24" s="111"/>
      <c r="H24" s="111"/>
      <c r="I24" s="111"/>
    </row>
    <row r="25" spans="1:15">
      <c r="A25" s="111"/>
      <c r="B25" s="111"/>
      <c r="C25" s="111"/>
      <c r="D25" s="167"/>
      <c r="E25" s="111"/>
      <c r="F25" s="111"/>
      <c r="G25" s="111"/>
      <c r="H25" s="111"/>
      <c r="I25" s="111"/>
    </row>
    <row r="26" spans="1:15">
      <c r="A26" s="111"/>
      <c r="B26" s="111"/>
      <c r="C26" s="111"/>
      <c r="D26" s="167"/>
      <c r="E26" s="111"/>
      <c r="F26" s="111"/>
      <c r="G26" s="111"/>
      <c r="H26" s="111"/>
    </row>
    <row r="27" spans="1:15">
      <c r="A27" s="483"/>
      <c r="B27" s="483"/>
      <c r="C27" s="483"/>
      <c r="D27" s="167"/>
      <c r="E27" s="483"/>
      <c r="F27" s="483"/>
      <c r="G27" s="483"/>
      <c r="H27" s="483"/>
    </row>
    <row r="28" spans="1:15">
      <c r="A28" s="483"/>
      <c r="B28" s="483"/>
      <c r="C28" s="483"/>
      <c r="D28" s="167"/>
      <c r="E28" s="483"/>
      <c r="F28" s="483"/>
      <c r="G28" s="483"/>
      <c r="H28" s="483"/>
    </row>
    <row r="29" spans="1:15">
      <c r="A29" s="111"/>
      <c r="B29" s="111"/>
      <c r="C29" s="111"/>
      <c r="D29" s="167"/>
      <c r="E29" s="111"/>
      <c r="F29" s="111"/>
      <c r="G29" s="111"/>
      <c r="H29" s="111"/>
    </row>
    <row r="30" spans="1:15">
      <c r="A30" s="111"/>
      <c r="B30" s="111"/>
      <c r="C30" s="111"/>
      <c r="D30" s="167"/>
      <c r="E30" s="111"/>
      <c r="F30" s="111"/>
      <c r="G30" s="111"/>
      <c r="H30" s="111"/>
    </row>
    <row r="31" spans="1:15">
      <c r="A31" s="123"/>
      <c r="B31" s="111"/>
      <c r="C31" s="111"/>
      <c r="D31" s="111"/>
      <c r="E31" s="111"/>
      <c r="F31" s="111"/>
      <c r="G31" s="111"/>
      <c r="H31" s="111"/>
    </row>
    <row r="32" spans="1:15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23"/>
      <c r="B33" s="111"/>
      <c r="C33" s="111"/>
      <c r="D33" s="111"/>
      <c r="E33" s="111"/>
      <c r="F33" s="111"/>
      <c r="G33" s="111"/>
      <c r="H33" s="111"/>
    </row>
    <row r="34" spans="1:8" ht="13.5" thickBot="1">
      <c r="A34" s="111"/>
      <c r="B34" s="111"/>
      <c r="C34" s="111"/>
      <c r="D34" s="111"/>
      <c r="E34" s="111"/>
      <c r="F34" s="111"/>
      <c r="G34" s="111"/>
      <c r="H34" s="117">
        <f>SUM(H20:H33)</f>
        <v>5618</v>
      </c>
    </row>
    <row r="35" spans="1:8" ht="13.5" thickTop="1">
      <c r="A35" s="111"/>
      <c r="B35" s="111"/>
      <c r="C35" s="111"/>
      <c r="D35" s="111"/>
      <c r="E35" s="111"/>
      <c r="F35" s="111"/>
      <c r="G35" s="111"/>
      <c r="H35" s="111"/>
    </row>
    <row r="36" spans="1:8" ht="20.100000000000001" customHeight="1">
      <c r="A36" s="118" t="s">
        <v>1133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Five Thousand Six Hundred Eighteen and NO/100 -----------</v>
      </c>
      <c r="C36" s="202"/>
      <c r="D36" s="119"/>
      <c r="E36" s="119"/>
      <c r="F36" s="119"/>
      <c r="G36" s="119"/>
      <c r="H36" s="119"/>
    </row>
    <row r="37" spans="1:8">
      <c r="A37" s="120" t="s">
        <v>11</v>
      </c>
      <c r="B37" s="111"/>
      <c r="C37" s="111"/>
      <c r="D37" s="111"/>
      <c r="E37" s="111"/>
      <c r="F37" s="111"/>
      <c r="G37" s="111"/>
      <c r="H37" s="111"/>
    </row>
    <row r="38" spans="1:8" ht="25.5">
      <c r="A38" s="126" t="s">
        <v>10</v>
      </c>
      <c r="B38" s="111"/>
      <c r="C38" s="111"/>
      <c r="D38" s="441"/>
      <c r="E38" s="111"/>
      <c r="F38" s="265" t="s">
        <v>2894</v>
      </c>
      <c r="G38" s="266"/>
      <c r="H38" s="267"/>
    </row>
    <row r="39" spans="1:8">
      <c r="A39" s="111"/>
      <c r="B39" s="111"/>
      <c r="C39" s="111"/>
      <c r="D39" s="433"/>
      <c r="E39" s="111"/>
      <c r="F39" s="111"/>
      <c r="G39" s="111"/>
      <c r="H39" s="111"/>
    </row>
    <row r="40" spans="1:8">
      <c r="A40" s="111"/>
      <c r="B40" s="111"/>
      <c r="C40" s="111"/>
      <c r="D40" s="433"/>
      <c r="E40" s="111"/>
      <c r="F40" s="111"/>
      <c r="G40" s="111"/>
      <c r="H40" s="111"/>
    </row>
    <row r="41" spans="1:8">
      <c r="A41" s="111"/>
      <c r="B41" s="111"/>
      <c r="C41" s="111"/>
      <c r="D41" s="433"/>
      <c r="E41" s="121"/>
      <c r="F41" s="111"/>
      <c r="G41" s="111"/>
      <c r="H41" s="111"/>
    </row>
    <row r="42" spans="1:8">
      <c r="A42" s="122"/>
      <c r="B42" s="122"/>
      <c r="C42" s="433"/>
      <c r="D42" s="433"/>
      <c r="E42" s="111"/>
      <c r="F42" s="111"/>
      <c r="G42" s="111"/>
      <c r="H42" s="111"/>
    </row>
    <row r="43" spans="1:8">
      <c r="A43" s="111"/>
      <c r="B43" s="111"/>
      <c r="C43" s="111"/>
      <c r="D43" s="442"/>
      <c r="E43" s="111"/>
      <c r="F43" s="111"/>
      <c r="G43" s="111"/>
      <c r="H43" s="111"/>
    </row>
    <row r="44" spans="1:8">
      <c r="A44" s="111"/>
      <c r="B44" s="111"/>
      <c r="C44" s="111"/>
      <c r="D44" s="15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433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6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1-000000000000}">
  <sheetPr codeName="Sheet489"/>
  <dimension ref="A1:K56"/>
  <sheetViews>
    <sheetView view="pageBreakPreview" topLeftCell="A25" zoomScaleNormal="100" zoomScaleSheetLayoutView="10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0.7109375" style="1" customWidth="1"/>
    <col min="4" max="4" width="23" style="1" customWidth="1"/>
    <col min="5" max="5" width="0.85546875" style="1" customWidth="1"/>
    <col min="6" max="6" width="15.42578125" style="1" customWidth="1"/>
    <col min="7" max="7" width="9" style="1" customWidth="1"/>
    <col min="8" max="8" width="11.7109375" style="1" customWidth="1"/>
    <col min="9" max="16384" width="9.140625" style="1"/>
  </cols>
  <sheetData>
    <row r="1" spans="1:11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1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1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1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1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  <c r="I8" s="1" t="s">
        <v>6603</v>
      </c>
      <c r="J8" s="1">
        <v>43902</v>
      </c>
      <c r="K8" s="1" t="s">
        <v>6604</v>
      </c>
    </row>
    <row r="9" spans="1:11">
      <c r="B9" s="111"/>
      <c r="C9" s="111"/>
      <c r="D9" s="111"/>
      <c r="E9" s="111"/>
      <c r="F9" s="112" t="s">
        <v>1127</v>
      </c>
      <c r="G9" s="483" t="s">
        <v>6603</v>
      </c>
      <c r="H9" s="111"/>
    </row>
    <row r="10" spans="1:11">
      <c r="A10" s="111" t="s">
        <v>4665</v>
      </c>
      <c r="B10" s="111"/>
      <c r="C10" s="111"/>
      <c r="D10" s="111"/>
      <c r="E10" s="111"/>
      <c r="F10" s="112" t="s">
        <v>1162</v>
      </c>
      <c r="G10" s="487" t="s">
        <v>6572</v>
      </c>
      <c r="H10" s="111"/>
    </row>
    <row r="11" spans="1:11">
      <c r="A11" s="111" t="s">
        <v>4666</v>
      </c>
      <c r="B11" s="111"/>
      <c r="C11" s="111"/>
      <c r="D11" s="111"/>
      <c r="E11" s="111"/>
      <c r="F11" s="112" t="s">
        <v>1163</v>
      </c>
      <c r="G11" s="484" t="s">
        <v>1094</v>
      </c>
      <c r="H11" s="111"/>
    </row>
    <row r="12" spans="1:11">
      <c r="A12" s="111"/>
      <c r="B12" s="111"/>
      <c r="C12" s="111"/>
      <c r="D12" s="111"/>
      <c r="E12" s="111"/>
      <c r="F12" s="112" t="s">
        <v>1096</v>
      </c>
      <c r="G12" s="486" t="s">
        <v>6604</v>
      </c>
      <c r="H12" s="111"/>
    </row>
    <row r="13" spans="1:11">
      <c r="A13" s="111"/>
      <c r="B13" s="111"/>
      <c r="C13" s="111"/>
      <c r="D13" s="111"/>
      <c r="E13" s="111"/>
      <c r="F13" s="111"/>
      <c r="G13" s="488" t="s">
        <v>6311</v>
      </c>
      <c r="H13" s="111"/>
    </row>
    <row r="14" spans="1:11">
      <c r="A14" s="111"/>
      <c r="B14" s="111"/>
      <c r="C14" s="111"/>
      <c r="D14" s="111"/>
      <c r="E14" s="111"/>
      <c r="F14" s="111"/>
      <c r="G14" s="111"/>
      <c r="H14" s="111"/>
    </row>
    <row r="15" spans="1:11">
      <c r="A15" s="111"/>
      <c r="B15" s="111"/>
      <c r="C15" s="111"/>
      <c r="D15" s="111"/>
      <c r="E15" s="111"/>
      <c r="F15" s="111"/>
      <c r="G15" s="111"/>
      <c r="H15" s="111"/>
    </row>
    <row r="16" spans="1:11" s="15" customFormat="1" ht="20.100000000000001" customHeight="1">
      <c r="A16" s="18" t="s">
        <v>1122</v>
      </c>
      <c r="B16" s="129" t="s">
        <v>1098</v>
      </c>
      <c r="C16" s="447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</row>
    <row r="18" spans="1:9">
      <c r="A18" s="116"/>
      <c r="B18" s="241"/>
      <c r="C18" s="241"/>
      <c r="D18" s="2" t="s">
        <v>3650</v>
      </c>
      <c r="E18" s="2"/>
      <c r="F18" s="111"/>
      <c r="G18" s="111"/>
      <c r="H18" s="111"/>
      <c r="I18" s="242"/>
    </row>
    <row r="19" spans="1:9">
      <c r="A19" s="116"/>
      <c r="B19" s="241"/>
      <c r="C19" s="241"/>
      <c r="D19" s="2"/>
      <c r="E19" s="2"/>
      <c r="F19" s="111"/>
      <c r="G19" s="111"/>
      <c r="H19" s="111"/>
      <c r="I19" s="111"/>
    </row>
    <row r="20" spans="1:9">
      <c r="A20" s="485" t="s">
        <v>6587</v>
      </c>
      <c r="B20" s="409"/>
      <c r="C20" s="409"/>
      <c r="D20" s="111" t="s">
        <v>6605</v>
      </c>
      <c r="E20" s="111"/>
      <c r="F20" s="111"/>
      <c r="G20" s="111"/>
      <c r="H20" s="111">
        <v>120</v>
      </c>
      <c r="I20" s="111"/>
    </row>
    <row r="21" spans="1:9">
      <c r="D21" s="483"/>
      <c r="E21" s="111"/>
      <c r="G21" s="111"/>
      <c r="H21" s="111"/>
      <c r="I21" s="111"/>
    </row>
    <row r="22" spans="1:9">
      <c r="A22" s="111"/>
      <c r="B22" s="313"/>
      <c r="C22" s="313"/>
      <c r="D22" s="483"/>
      <c r="E22" s="111"/>
      <c r="F22" s="111"/>
      <c r="G22" s="111"/>
      <c r="H22" s="111"/>
      <c r="I22" s="111"/>
    </row>
    <row r="23" spans="1:9">
      <c r="A23" s="120"/>
      <c r="B23" s="241"/>
      <c r="C23" s="241"/>
      <c r="D23" s="483"/>
      <c r="E23" s="111"/>
      <c r="F23" s="111"/>
      <c r="G23" s="111"/>
      <c r="H23" s="483"/>
      <c r="I23" s="111"/>
    </row>
    <row r="24" spans="1:9">
      <c r="A24" s="111"/>
      <c r="B24" s="111"/>
      <c r="C24" s="111"/>
      <c r="D24" s="483"/>
      <c r="E24" s="111"/>
      <c r="F24" s="111"/>
      <c r="G24" s="111"/>
      <c r="H24" s="483"/>
      <c r="I24" s="111"/>
    </row>
    <row r="25" spans="1:9">
      <c r="A25" s="111"/>
      <c r="B25" s="111"/>
      <c r="C25" s="111"/>
      <c r="D25" s="111"/>
      <c r="E25" s="111"/>
      <c r="F25" s="111"/>
      <c r="G25" s="111"/>
      <c r="H25" s="111"/>
      <c r="I25" s="111"/>
    </row>
    <row r="26" spans="1:9">
      <c r="A26" s="116"/>
      <c r="B26" s="111"/>
      <c r="C26" s="111"/>
      <c r="D26" s="111"/>
      <c r="E26" s="111"/>
      <c r="F26" s="111"/>
      <c r="G26" s="111"/>
      <c r="H26" s="111"/>
    </row>
    <row r="27" spans="1:9">
      <c r="A27" s="111"/>
      <c r="B27" s="111"/>
      <c r="C27" s="111"/>
      <c r="D27" s="111"/>
      <c r="E27" s="111"/>
      <c r="F27" s="111"/>
      <c r="G27" s="111"/>
      <c r="H27" s="111"/>
    </row>
    <row r="28" spans="1:9">
      <c r="A28" s="120"/>
      <c r="B28" s="111"/>
      <c r="C28" s="111"/>
      <c r="D28" s="111"/>
      <c r="E28" s="111"/>
      <c r="F28" s="111"/>
      <c r="G28" s="111"/>
      <c r="H28" s="111"/>
    </row>
    <row r="29" spans="1:9">
      <c r="A29" s="111"/>
      <c r="B29" s="111"/>
      <c r="C29" s="111"/>
      <c r="D29" s="111"/>
      <c r="E29" s="111"/>
      <c r="F29" s="111"/>
      <c r="G29" s="111"/>
      <c r="H29" s="111"/>
    </row>
    <row r="30" spans="1:9">
      <c r="A30" s="111"/>
      <c r="B30" s="111"/>
      <c r="C30" s="111"/>
      <c r="D30" s="111"/>
      <c r="E30" s="111"/>
      <c r="F30" s="111"/>
      <c r="G30" s="111"/>
      <c r="H30" s="111"/>
    </row>
    <row r="31" spans="1:9">
      <c r="A31" s="111"/>
      <c r="B31" s="111"/>
      <c r="C31" s="111"/>
      <c r="D31" s="111"/>
      <c r="E31" s="111"/>
      <c r="F31" s="111"/>
      <c r="G31" s="111"/>
      <c r="H31" s="111"/>
    </row>
    <row r="32" spans="1:9">
      <c r="A32" s="123"/>
      <c r="B32" s="111"/>
      <c r="C32" s="111"/>
      <c r="D32" s="111"/>
      <c r="E32" s="111"/>
      <c r="F32" s="111"/>
      <c r="G32" s="111"/>
      <c r="H32" s="111"/>
    </row>
    <row r="33" spans="1:8">
      <c r="A33" s="111"/>
      <c r="B33" s="111"/>
      <c r="C33" s="111"/>
      <c r="D33" s="111"/>
      <c r="E33" s="111"/>
      <c r="F33" s="111"/>
      <c r="G33" s="111"/>
      <c r="H33" s="111"/>
    </row>
    <row r="34" spans="1:8">
      <c r="A34" s="123"/>
      <c r="B34" s="111"/>
      <c r="C34" s="111"/>
      <c r="D34" s="111"/>
      <c r="E34" s="111"/>
      <c r="F34" s="111"/>
      <c r="G34" s="111"/>
      <c r="H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120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Hundred Twenty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433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433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9" orientation="portrait" r:id="rId1"/>
  <headerFooter alignWithMargins="0"/>
</worksheet>
</file>

<file path=xl/worksheets/sheet6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1-000000000000}">
  <sheetPr codeName="Sheet490">
    <pageSetUpPr fitToPage="1"/>
  </sheetPr>
  <dimension ref="A1:N60"/>
  <sheetViews>
    <sheetView zoomScaleNormal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4628</v>
      </c>
      <c r="F9" s="111"/>
    </row>
    <row r="10" spans="1:6">
      <c r="A10" s="111" t="s">
        <v>4630</v>
      </c>
      <c r="B10" s="111"/>
      <c r="C10" s="111"/>
      <c r="D10" s="112" t="s">
        <v>1162</v>
      </c>
      <c r="E10" s="112" t="s">
        <v>4623</v>
      </c>
      <c r="F10" s="111"/>
    </row>
    <row r="11" spans="1:6">
      <c r="A11" s="111"/>
      <c r="B11" s="111"/>
      <c r="C11" s="111"/>
      <c r="D11" s="112" t="s">
        <v>1163</v>
      </c>
      <c r="E11" s="111" t="s">
        <v>1094</v>
      </c>
      <c r="F11" s="111"/>
    </row>
    <row r="12" spans="1:6">
      <c r="A12" s="111"/>
      <c r="B12" s="111"/>
      <c r="C12" s="111"/>
      <c r="D12" s="112" t="s">
        <v>1135</v>
      </c>
      <c r="E12" s="120" t="s">
        <v>4629</v>
      </c>
      <c r="F12" s="111"/>
    </row>
    <row r="13" spans="1:6">
      <c r="A13" s="111"/>
      <c r="B13" s="111"/>
      <c r="C13" s="111"/>
      <c r="D13" s="111"/>
      <c r="E13" s="13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14">
      <c r="A17" s="111"/>
      <c r="B17" s="111"/>
      <c r="C17" s="111"/>
      <c r="D17" s="111"/>
      <c r="E17" s="111"/>
      <c r="F17" s="111"/>
      <c r="K17" s="111"/>
      <c r="L17" s="111"/>
      <c r="M17" s="111"/>
      <c r="N17" s="111"/>
    </row>
    <row r="18" spans="1:14">
      <c r="A18" s="120"/>
      <c r="B18" s="111"/>
      <c r="C18" s="2" t="s">
        <v>4624</v>
      </c>
      <c r="D18" s="111"/>
      <c r="E18" s="111"/>
      <c r="F18" s="111"/>
      <c r="K18" s="111"/>
      <c r="L18" s="111"/>
      <c r="M18" s="111"/>
      <c r="N18" s="111"/>
    </row>
    <row r="19" spans="1:14">
      <c r="C19" s="2"/>
      <c r="D19" s="111"/>
      <c r="E19" s="111"/>
      <c r="F19" s="111"/>
      <c r="K19" s="111"/>
      <c r="L19" s="111"/>
      <c r="M19" s="111"/>
      <c r="N19" s="111"/>
    </row>
    <row r="20" spans="1:14">
      <c r="A20" s="116" t="s">
        <v>4625</v>
      </c>
      <c r="B20" s="116" t="s">
        <v>4631</v>
      </c>
      <c r="C20" s="111" t="s">
        <v>4632</v>
      </c>
      <c r="D20" s="111"/>
      <c r="E20" s="111"/>
      <c r="F20" s="111">
        <v>1200</v>
      </c>
      <c r="K20" s="111"/>
      <c r="L20" s="111"/>
      <c r="M20" s="111"/>
      <c r="N20" s="111"/>
    </row>
    <row r="21" spans="1:14">
      <c r="A21" s="116"/>
      <c r="B21" s="111"/>
      <c r="C21" s="111" t="s">
        <v>4633</v>
      </c>
      <c r="D21" s="111"/>
      <c r="F21" s="111"/>
      <c r="M21" s="111"/>
      <c r="N21" s="111"/>
    </row>
    <row r="22" spans="1:14">
      <c r="A22" s="116"/>
      <c r="B22" s="111"/>
      <c r="M22" s="111"/>
      <c r="N22" s="111"/>
    </row>
    <row r="23" spans="1:14">
      <c r="A23" s="116"/>
      <c r="B23" s="111"/>
      <c r="C23" s="111"/>
      <c r="D23" s="111"/>
      <c r="F23" s="111"/>
      <c r="K23" s="111"/>
      <c r="L23" s="111"/>
      <c r="N23" s="111"/>
    </row>
    <row r="24" spans="1:14">
      <c r="A24" s="116"/>
      <c r="B24" s="116"/>
      <c r="C24" s="111"/>
      <c r="K24" s="111"/>
      <c r="L24" s="111"/>
      <c r="M24" s="111"/>
      <c r="N24" s="111"/>
    </row>
    <row r="25" spans="1:14">
      <c r="K25" s="111"/>
      <c r="L25" s="111"/>
      <c r="M25" s="111"/>
      <c r="N25" s="111"/>
    </row>
    <row r="26" spans="1:14">
      <c r="A26" s="116"/>
      <c r="B26" s="116"/>
      <c r="C26" s="111"/>
      <c r="F26" s="111"/>
      <c r="K26" s="111"/>
      <c r="L26" s="111"/>
      <c r="N26" s="111"/>
    </row>
    <row r="27" spans="1:14">
      <c r="A27" s="116"/>
      <c r="B27" s="116"/>
      <c r="K27" s="111"/>
      <c r="N27" s="111"/>
    </row>
    <row r="28" spans="1:14">
      <c r="C28" s="2"/>
      <c r="K28" s="111"/>
      <c r="N28" s="111"/>
    </row>
    <row r="29" spans="1:14">
      <c r="K29" s="111"/>
      <c r="L29" s="111"/>
      <c r="M29" s="111"/>
      <c r="N29" s="111"/>
    </row>
    <row r="30" spans="1:14">
      <c r="A30" s="116"/>
      <c r="B30" s="116"/>
      <c r="C30" s="111"/>
      <c r="F30" s="111"/>
    </row>
    <row r="31" spans="1:14">
      <c r="C31" s="111"/>
      <c r="F31" s="111"/>
    </row>
    <row r="32" spans="1:14">
      <c r="A32" s="116"/>
      <c r="B32" s="116"/>
      <c r="C32" s="111"/>
      <c r="F32" s="111"/>
    </row>
    <row r="33" spans="1:6">
      <c r="A33" s="116"/>
      <c r="B33" s="116"/>
      <c r="C33" s="111"/>
      <c r="F33" s="111"/>
    </row>
    <row r="34" spans="1:6">
      <c r="A34" s="116"/>
      <c r="B34" s="116"/>
      <c r="C34" s="111"/>
      <c r="F34" s="111"/>
    </row>
    <row r="35" spans="1:6">
      <c r="A35" s="121"/>
      <c r="B35" s="111"/>
      <c r="C35" s="111"/>
      <c r="D35" s="111"/>
      <c r="E35" s="111"/>
      <c r="F35" s="111"/>
    </row>
    <row r="36" spans="1:6">
      <c r="A36" s="121"/>
      <c r="B36" s="111"/>
      <c r="C36" s="111"/>
      <c r="D36" s="111"/>
      <c r="E36" s="111"/>
      <c r="F36" s="111"/>
    </row>
    <row r="37" spans="1:6">
      <c r="A37" s="111"/>
      <c r="B37" s="111"/>
      <c r="C37" s="111"/>
      <c r="D37" s="111"/>
      <c r="E37" s="111"/>
      <c r="F37" s="111"/>
    </row>
    <row r="38" spans="1:6">
      <c r="A38" s="111"/>
      <c r="B38" s="111"/>
      <c r="C38" s="111"/>
      <c r="D38" s="111"/>
      <c r="E38" s="111"/>
      <c r="F38" s="111"/>
    </row>
    <row r="39" spans="1:6" ht="13.5" thickBot="1">
      <c r="A39" s="111"/>
      <c r="B39" s="111"/>
      <c r="C39" s="111"/>
      <c r="D39" s="111"/>
      <c r="E39" s="111"/>
      <c r="F39" s="117">
        <f>SUM(F20:F38)</f>
        <v>1200</v>
      </c>
    </row>
    <row r="40" spans="1:6" ht="13.5" thickTop="1">
      <c r="A40" s="111"/>
      <c r="B40" s="111"/>
      <c r="C40" s="111"/>
      <c r="D40" s="111"/>
      <c r="E40" s="111"/>
      <c r="F40" s="111"/>
    </row>
    <row r="41" spans="1:6" ht="20.100000000000001" customHeight="1">
      <c r="A41" s="118" t="s">
        <v>1133</v>
      </c>
      <c r="B41" s="202" t="str">
        <f>IF(OR(F39&gt;1000000,F39&lt;=0),"",IF(F39&lt;1000,"",IF(MOD(F39,1000000)&gt;=100000,INDEX(numbers,TRUNC(MOD(F39,1000000)/100000,0)+1)&amp;" Hundred","")&amp;IF(MOD(F39,100000)&gt;=20000," "&amp;INDEX(tens,TRUNC(MOD(F39,100000)/10000,0)+1)&amp;IF(MOD(MOD(F39,100000),10000)&gt;=1000,"-"&amp;INDEX(numbers,TRUNC(MOD(MOD(F39,100000),10000)/1000,0)+1),""),IF(MOD(F39,100000)&gt;=1000," "&amp;INDEX(numbers,TRUNC(MOD(F39,100000)/1000,0)+1),""))&amp;" Thousand") &amp; IF(F39&lt;1,"Zero Dollars",IF(MOD(F39,1000)&gt;=100," "&amp;INDEX(numbers,TRUNC(MOD(F39,1000)/100,0)+1)&amp;" Hundred","")&amp;IF(MOD(F39,100)&gt;=20," "&amp;INDEX(tens,TRUNC(MOD(F39,100)/10,0)+1)&amp;IF(MOD(MOD(F39,100),10)&gt;=1,"-"&amp;INDEX(numbers,TRUNC(MOD(MOD(F39,100),10),0)+1),""),IF(MOD(F39,100)&gt;=1," "&amp;INDEX(numbers,TRUNC(MOD(F39,100),0)+1),""))&amp;"") &amp; " and " &amp; IF(MOD(F39,1)&lt;0.005,"NO",ROUND(MOD(F39,1)*100,0)) &amp; "/100 -----------")</f>
        <v xml:space="preserve"> One Thousand Two Hundred and NO/100 -----------</v>
      </c>
      <c r="C41" s="119"/>
      <c r="D41" s="119"/>
      <c r="E41" s="119"/>
      <c r="F41" s="119"/>
    </row>
    <row r="42" spans="1:6">
      <c r="A42" s="120" t="s">
        <v>11</v>
      </c>
      <c r="B42" s="111"/>
      <c r="C42" s="111"/>
      <c r="D42" s="111"/>
      <c r="E42" s="111"/>
      <c r="F42" s="111"/>
    </row>
    <row r="43" spans="1:6" ht="25.5">
      <c r="A43" s="111" t="s">
        <v>10</v>
      </c>
      <c r="B43" s="111"/>
      <c r="C43" s="111"/>
      <c r="D43" s="265" t="s">
        <v>2894</v>
      </c>
      <c r="E43" s="266"/>
      <c r="F43" s="267"/>
    </row>
    <row r="44" spans="1:6">
      <c r="A44" s="111"/>
      <c r="B44" s="111"/>
      <c r="C44" s="111"/>
      <c r="D44" s="111"/>
      <c r="E44" s="111"/>
      <c r="F44" s="111"/>
    </row>
    <row r="45" spans="1:6">
      <c r="A45" s="126"/>
      <c r="B45" s="111"/>
      <c r="C45" s="111"/>
    </row>
    <row r="46" spans="1:6">
      <c r="A46" s="111"/>
      <c r="B46" s="111"/>
      <c r="C46" s="121"/>
      <c r="D46" s="111"/>
      <c r="E46" s="111"/>
      <c r="F46" s="111"/>
    </row>
    <row r="47" spans="1:6">
      <c r="A47" s="122"/>
      <c r="B47" s="122"/>
      <c r="C47" s="111"/>
      <c r="D47" s="111"/>
      <c r="E47" s="111"/>
      <c r="F47" s="111"/>
    </row>
    <row r="48" spans="1:6">
      <c r="B48" s="111"/>
      <c r="C48" s="111"/>
      <c r="D48" s="111"/>
      <c r="E48" s="111"/>
      <c r="F48" s="111"/>
    </row>
    <row r="49" spans="1:6">
      <c r="A49" s="123" t="s">
        <v>8</v>
      </c>
      <c r="C49" s="111"/>
      <c r="D49" s="123" t="s">
        <v>7</v>
      </c>
      <c r="E49" s="111"/>
      <c r="F49" s="124"/>
    </row>
    <row r="50" spans="1:6">
      <c r="A50" s="111"/>
      <c r="B50" s="111"/>
      <c r="C50" s="111"/>
      <c r="D50" s="111"/>
      <c r="E50" s="111"/>
      <c r="F50" s="111"/>
    </row>
    <row r="51" spans="1:6">
      <c r="A51" s="111"/>
      <c r="B51" s="111"/>
      <c r="C51" s="111"/>
      <c r="D51" s="111"/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22"/>
      <c r="B53" s="122"/>
      <c r="C53" s="111"/>
      <c r="D53" s="122"/>
      <c r="E53" s="122"/>
      <c r="F53" s="122"/>
    </row>
    <row r="54" spans="1:6" s="3" customFormat="1" ht="17.100000000000001" customHeight="1">
      <c r="A54" s="151" t="s">
        <v>2948</v>
      </c>
      <c r="B54" s="125"/>
      <c r="C54" s="126"/>
      <c r="D54" s="126" t="s">
        <v>3</v>
      </c>
      <c r="E54" s="126"/>
      <c r="F54" s="126"/>
    </row>
    <row r="55" spans="1:6">
      <c r="A55" s="111"/>
      <c r="B55" s="111"/>
      <c r="C55" s="111"/>
      <c r="D55" s="111" t="s">
        <v>2</v>
      </c>
      <c r="E55" s="111"/>
      <c r="F55" s="111"/>
    </row>
    <row r="56" spans="1:6">
      <c r="A56" s="151"/>
      <c r="B56" s="111"/>
      <c r="C56" s="111"/>
      <c r="D56" s="111"/>
      <c r="E56" s="111"/>
      <c r="F56" s="111"/>
    </row>
    <row r="57" spans="1:6">
      <c r="A57" s="111"/>
      <c r="B57" s="111"/>
      <c r="C57" s="111"/>
      <c r="D57" s="2" t="s">
        <v>1</v>
      </c>
      <c r="E57" s="111"/>
      <c r="F57" s="111"/>
    </row>
    <row r="58" spans="1:6">
      <c r="A58" s="111"/>
      <c r="B58" s="111"/>
      <c r="C58" s="111"/>
      <c r="D58" s="2" t="s">
        <v>0</v>
      </c>
      <c r="E58" s="111"/>
      <c r="F58" s="111"/>
    </row>
    <row r="59" spans="1:6">
      <c r="A59" s="111"/>
      <c r="B59" s="111"/>
      <c r="C59" s="111"/>
      <c r="D59" s="111"/>
      <c r="E59" s="111"/>
      <c r="F59" s="111"/>
    </row>
    <row r="60" spans="1:6">
      <c r="A60" s="111"/>
      <c r="B60" s="111"/>
      <c r="C60" s="111"/>
      <c r="D60" s="111"/>
      <c r="E60" s="111"/>
      <c r="F60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6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1-000000000000}">
  <sheetPr codeName="Sheet309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42578125" style="131" customWidth="1"/>
    <col min="3" max="3" width="21" style="131" customWidth="1"/>
    <col min="4" max="4" width="12.28515625" style="131" customWidth="1"/>
    <col min="5" max="5" width="9" style="131" customWidth="1"/>
    <col min="6" max="6" width="13.28515625" style="131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A9" s="131" t="s">
        <v>2803</v>
      </c>
      <c r="D9" s="132" t="s">
        <v>1110</v>
      </c>
      <c r="E9" s="131" t="s">
        <v>2801</v>
      </c>
    </row>
    <row r="10" spans="1:6">
      <c r="A10" s="131" t="s">
        <v>2804</v>
      </c>
      <c r="D10" s="132" t="s">
        <v>1685</v>
      </c>
      <c r="E10" s="132" t="s">
        <v>2797</v>
      </c>
    </row>
    <row r="11" spans="1:6">
      <c r="D11" s="132" t="s">
        <v>1163</v>
      </c>
      <c r="E11" s="132" t="s">
        <v>1094</v>
      </c>
    </row>
    <row r="12" spans="1:6">
      <c r="D12" s="132" t="s">
        <v>1188</v>
      </c>
      <c r="E12" s="132" t="s">
        <v>2802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6">
      <c r="A17" s="177"/>
    </row>
    <row r="18" spans="1:6">
      <c r="C18" s="110" t="s">
        <v>2798</v>
      </c>
    </row>
    <row r="19" spans="1:6">
      <c r="A19" s="177"/>
      <c r="C19" s="110" t="s">
        <v>2799</v>
      </c>
    </row>
    <row r="20" spans="1:6">
      <c r="B20" s="158"/>
    </row>
    <row r="21" spans="1:6">
      <c r="A21" s="158" t="s">
        <v>2800</v>
      </c>
      <c r="C21" s="131" t="s">
        <v>2805</v>
      </c>
      <c r="F21" s="131">
        <v>3841</v>
      </c>
    </row>
    <row r="22" spans="1:6">
      <c r="A22" s="177"/>
      <c r="C22" s="131" t="s">
        <v>2806</v>
      </c>
    </row>
    <row r="23" spans="1:6">
      <c r="A23" s="177"/>
    </row>
    <row r="24" spans="1:6">
      <c r="A24" s="177"/>
      <c r="C24" s="131" t="s">
        <v>2807</v>
      </c>
      <c r="F24" s="131">
        <v>944.8</v>
      </c>
    </row>
    <row r="25" spans="1:6">
      <c r="A25" s="177"/>
    </row>
    <row r="26" spans="1:6">
      <c r="A26" s="177"/>
      <c r="C26" s="131" t="s">
        <v>2808</v>
      </c>
      <c r="F26" s="131">
        <v>450</v>
      </c>
    </row>
    <row r="27" spans="1:6">
      <c r="A27" s="177"/>
    </row>
    <row r="28" spans="1:6">
      <c r="A28" s="177"/>
    </row>
    <row r="30" spans="1:6">
      <c r="A30" s="158"/>
      <c r="B30" s="158"/>
    </row>
    <row r="31" spans="1:6">
      <c r="A31" s="86"/>
      <c r="B31" s="86"/>
    </row>
    <row r="32" spans="1:6">
      <c r="A32" s="86"/>
      <c r="B32" s="86"/>
    </row>
    <row r="33" spans="1:6">
      <c r="A33" s="86"/>
      <c r="B33" s="86"/>
      <c r="D33" s="86"/>
      <c r="E33" s="86"/>
    </row>
    <row r="34" spans="1:6">
      <c r="A34" s="177"/>
      <c r="F34" s="86"/>
    </row>
    <row r="35" spans="1:6" ht="13.5" thickBot="1">
      <c r="A35" s="177"/>
      <c r="F35" s="137">
        <f>SUM(F19:F33)</f>
        <v>5235.8</v>
      </c>
    </row>
    <row r="36" spans="1:6" ht="13.5" thickTop="1">
      <c r="A36" s="177"/>
    </row>
    <row r="37" spans="1:6" ht="20.100000000000001" customHeight="1">
      <c r="A37" s="138" t="s">
        <v>1686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Five Thousand Two Hundred Thirty-Five and 80/100 -----------</v>
      </c>
      <c r="C37" s="139"/>
      <c r="D37" s="139"/>
      <c r="E37" s="139"/>
      <c r="F37" s="139"/>
    </row>
    <row r="38" spans="1:6">
      <c r="A38" s="140"/>
    </row>
    <row r="39" spans="1:6" ht="25.5">
      <c r="A39" s="147" t="s">
        <v>10</v>
      </c>
      <c r="D39" s="265" t="s">
        <v>2894</v>
      </c>
      <c r="E39" s="266"/>
      <c r="F39" s="267"/>
    </row>
    <row r="42" spans="1:6">
      <c r="A42" s="131" t="s">
        <v>51</v>
      </c>
      <c r="C42" s="141"/>
    </row>
    <row r="43" spans="1:6">
      <c r="A43" s="142"/>
      <c r="B43" s="142"/>
    </row>
    <row r="45" spans="1:6">
      <c r="A45" s="131" t="s">
        <v>8</v>
      </c>
      <c r="D45" s="143" t="s">
        <v>7</v>
      </c>
      <c r="F45" s="144"/>
    </row>
    <row r="49" spans="1:6">
      <c r="A49" s="142" t="s">
        <v>51</v>
      </c>
      <c r="B49" s="142"/>
      <c r="D49" s="142"/>
      <c r="E49" s="142"/>
      <c r="F49" s="142"/>
    </row>
    <row r="50" spans="1:6" s="109" customFormat="1" ht="17.100000000000001" customHeight="1">
      <c r="A50" s="145" t="s">
        <v>2948</v>
      </c>
      <c r="B50" s="146"/>
      <c r="C50" s="147"/>
      <c r="D50" s="147" t="s">
        <v>3</v>
      </c>
      <c r="E50" s="147"/>
      <c r="F50" s="147"/>
    </row>
    <row r="51" spans="1:6">
      <c r="D51" s="131" t="s">
        <v>2</v>
      </c>
    </row>
    <row r="53" spans="1:6">
      <c r="D53" s="110" t="s">
        <v>1</v>
      </c>
    </row>
    <row r="54" spans="1:6">
      <c r="D54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1-000000000000}">
  <sheetPr codeName="Sheet463">
    <pageSetUpPr fitToPage="1"/>
  </sheetPr>
  <dimension ref="A1:I57"/>
  <sheetViews>
    <sheetView workbookViewId="0">
      <selection activeCell="G25" sqref="G25"/>
    </sheetView>
  </sheetViews>
  <sheetFormatPr defaultRowHeight="12.75"/>
  <cols>
    <col min="1" max="1" width="16.140625" style="1" customWidth="1"/>
    <col min="2" max="2" width="12.5703125" style="1" customWidth="1"/>
    <col min="3" max="3" width="1.140625" style="1" customWidth="1"/>
    <col min="4" max="4" width="23" style="1" customWidth="1"/>
    <col min="5" max="5" width="1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 t="s">
        <v>4262</v>
      </c>
      <c r="B9" s="111"/>
      <c r="C9" s="111"/>
      <c r="D9" s="111"/>
      <c r="E9" s="111"/>
      <c r="F9" s="112" t="s">
        <v>1127</v>
      </c>
      <c r="G9" s="483" t="s">
        <v>7120</v>
      </c>
      <c r="H9" s="111"/>
    </row>
    <row r="10" spans="1:8">
      <c r="A10" s="111" t="s">
        <v>4263</v>
      </c>
      <c r="B10" s="111"/>
      <c r="C10" s="111"/>
      <c r="D10" s="111"/>
      <c r="E10" s="111"/>
      <c r="F10" s="112" t="s">
        <v>1162</v>
      </c>
      <c r="G10" s="484" t="s">
        <v>7105</v>
      </c>
      <c r="H10" s="111"/>
    </row>
    <row r="11" spans="1:8">
      <c r="A11" s="111" t="s">
        <v>4264</v>
      </c>
      <c r="B11" s="111"/>
      <c r="C11" s="111"/>
      <c r="D11" s="111"/>
      <c r="E11" s="111"/>
      <c r="F11" s="112" t="s">
        <v>1163</v>
      </c>
      <c r="G11" s="484" t="s">
        <v>1094</v>
      </c>
      <c r="H11" s="111"/>
    </row>
    <row r="12" spans="1:8">
      <c r="A12" s="111" t="s">
        <v>4265</v>
      </c>
      <c r="B12" s="111"/>
      <c r="C12" s="111"/>
      <c r="D12" s="111"/>
      <c r="E12" s="111"/>
      <c r="F12" s="112" t="s">
        <v>1135</v>
      </c>
      <c r="G12" s="486" t="s">
        <v>7121</v>
      </c>
      <c r="H12" s="111"/>
    </row>
    <row r="13" spans="1:8">
      <c r="A13" s="111" t="s">
        <v>751</v>
      </c>
      <c r="B13" s="111"/>
      <c r="C13" s="111"/>
      <c r="D13" s="111"/>
      <c r="E13" s="111"/>
      <c r="F13" s="111"/>
      <c r="G13" s="11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9">
      <c r="A17" s="111"/>
      <c r="B17" s="111"/>
      <c r="C17" s="111"/>
      <c r="D17" s="111"/>
      <c r="E17" s="111"/>
      <c r="F17" s="111"/>
      <c r="G17" s="111"/>
      <c r="H17" s="111"/>
    </row>
    <row r="18" spans="1:9">
      <c r="A18" s="148"/>
      <c r="B18" s="111"/>
      <c r="C18" s="111"/>
      <c r="D18" s="2" t="s">
        <v>3658</v>
      </c>
      <c r="E18" s="2"/>
      <c r="F18" s="111"/>
      <c r="G18" s="111"/>
      <c r="H18" s="111"/>
      <c r="I18" s="111"/>
    </row>
    <row r="19" spans="1:9">
      <c r="A19" s="159"/>
      <c r="D19" s="2"/>
      <c r="E19" s="2"/>
      <c r="F19" s="111"/>
      <c r="G19" s="111"/>
      <c r="H19" s="111"/>
      <c r="I19" s="111"/>
    </row>
    <row r="20" spans="1:9">
      <c r="A20" s="206" t="s">
        <v>7119</v>
      </c>
      <c r="B20" s="485" t="s">
        <v>7122</v>
      </c>
      <c r="C20" s="116"/>
      <c r="D20" s="111" t="s">
        <v>7124</v>
      </c>
      <c r="E20" s="111"/>
      <c r="F20" s="111"/>
      <c r="G20" s="111"/>
      <c r="H20" s="111">
        <f>54030/2</f>
        <v>27015</v>
      </c>
      <c r="I20" s="111"/>
    </row>
    <row r="21" spans="1:9">
      <c r="A21" s="252"/>
      <c r="B21" s="111"/>
      <c r="C21" s="111"/>
      <c r="D21" s="111" t="s">
        <v>7125</v>
      </c>
      <c r="E21" s="111"/>
      <c r="F21" s="111"/>
      <c r="G21" s="111"/>
      <c r="H21" s="111"/>
      <c r="I21" s="111"/>
    </row>
    <row r="22" spans="1:9">
      <c r="A22" s="148"/>
      <c r="B22" s="111"/>
      <c r="C22" s="111"/>
      <c r="D22" s="111" t="s">
        <v>1814</v>
      </c>
      <c r="E22" s="111"/>
      <c r="F22" s="111"/>
      <c r="G22" s="111"/>
      <c r="H22" s="111">
        <f>H20*6%</f>
        <v>1620.8999999999999</v>
      </c>
      <c r="I22" s="111"/>
    </row>
    <row r="23" spans="1:9">
      <c r="A23" s="111"/>
      <c r="B23" s="111"/>
      <c r="C23" s="111"/>
      <c r="E23" s="111"/>
      <c r="F23" s="111"/>
      <c r="G23" s="111"/>
      <c r="H23" s="111"/>
      <c r="I23" s="111"/>
    </row>
    <row r="24" spans="1:9">
      <c r="A24" s="111"/>
      <c r="B24" s="111"/>
      <c r="C24" s="111"/>
      <c r="D24" s="111" t="s">
        <v>7123</v>
      </c>
      <c r="I24" s="111"/>
    </row>
    <row r="25" spans="1:9">
      <c r="A25" s="148"/>
      <c r="B25" s="111"/>
      <c r="C25" s="111"/>
      <c r="D25" s="111"/>
      <c r="E25" s="111"/>
      <c r="F25" s="111"/>
      <c r="G25" s="111"/>
      <c r="H25" s="111"/>
    </row>
    <row r="26" spans="1:9">
      <c r="A26" s="148"/>
      <c r="B26" s="111"/>
      <c r="C26" s="111"/>
      <c r="D26" s="2"/>
      <c r="E26" s="2"/>
      <c r="F26" s="111"/>
      <c r="G26" s="111"/>
      <c r="H26" s="111"/>
    </row>
    <row r="27" spans="1:9">
      <c r="A27" s="148"/>
      <c r="B27" s="111"/>
      <c r="C27" s="111"/>
      <c r="D27" s="2"/>
      <c r="E27" s="2"/>
      <c r="F27" s="111"/>
      <c r="G27" s="111"/>
      <c r="H27" s="111"/>
    </row>
    <row r="28" spans="1:9">
      <c r="A28" s="159"/>
      <c r="B28" s="111"/>
      <c r="C28" s="111"/>
      <c r="D28" s="111"/>
      <c r="E28" s="111"/>
      <c r="F28" s="111"/>
      <c r="G28" s="111"/>
      <c r="H28" s="111"/>
    </row>
    <row r="29" spans="1:9">
      <c r="A29" s="252"/>
      <c r="B29" s="111"/>
      <c r="C29" s="111"/>
      <c r="D29" s="111"/>
      <c r="E29" s="111"/>
      <c r="F29" s="111"/>
      <c r="G29" s="111"/>
      <c r="H29" s="111"/>
    </row>
    <row r="30" spans="1:9">
      <c r="A30" s="148"/>
      <c r="B30" s="111"/>
      <c r="C30" s="111"/>
      <c r="D30" s="111"/>
      <c r="E30" s="111"/>
      <c r="F30" s="111"/>
      <c r="G30" s="111"/>
      <c r="H30" s="111"/>
    </row>
    <row r="31" spans="1:9">
      <c r="A31" s="148"/>
      <c r="B31" s="111"/>
      <c r="C31" s="111"/>
      <c r="D31" s="111"/>
      <c r="E31" s="111"/>
      <c r="F31" s="111"/>
      <c r="G31" s="111"/>
      <c r="H31" s="111"/>
    </row>
    <row r="32" spans="1:9">
      <c r="A32" s="111"/>
      <c r="B32" s="111"/>
      <c r="C32" s="111"/>
      <c r="D32" s="111"/>
      <c r="E32" s="111"/>
      <c r="F32" s="111"/>
      <c r="G32" s="111"/>
      <c r="H32" s="111"/>
    </row>
    <row r="33" spans="1:9">
      <c r="A33" s="148"/>
      <c r="B33" s="111"/>
      <c r="C33" s="111"/>
      <c r="D33" s="111"/>
      <c r="E33" s="111"/>
      <c r="F33" s="111"/>
      <c r="G33" s="111"/>
      <c r="H33" s="111"/>
    </row>
    <row r="34" spans="1:9">
      <c r="A34" s="148"/>
      <c r="B34" s="111"/>
      <c r="C34" s="111"/>
      <c r="D34" s="111"/>
      <c r="E34" s="111"/>
      <c r="F34" s="111"/>
      <c r="G34" s="111"/>
      <c r="H34" s="111"/>
    </row>
    <row r="35" spans="1:9">
      <c r="D35" s="2"/>
      <c r="E35" s="2"/>
      <c r="F35" s="111"/>
      <c r="G35" s="111"/>
      <c r="H35" s="111"/>
      <c r="I35" s="111"/>
    </row>
    <row r="36" spans="1:9" ht="13.5" thickBot="1">
      <c r="A36" s="159"/>
      <c r="B36" s="111"/>
      <c r="C36" s="111"/>
      <c r="D36" s="111"/>
      <c r="E36" s="111"/>
      <c r="F36" s="111"/>
      <c r="G36" s="111"/>
      <c r="H36" s="127">
        <f>SUM(H19:H35)</f>
        <v>28635.9</v>
      </c>
      <c r="I36" s="111"/>
    </row>
    <row r="37" spans="1:9" ht="13.5" thickTop="1">
      <c r="A37" s="126"/>
      <c r="B37" s="111"/>
      <c r="C37" s="111"/>
      <c r="D37" s="111"/>
      <c r="E37" s="111"/>
      <c r="F37" s="111"/>
      <c r="G37" s="111"/>
      <c r="H37" s="111"/>
      <c r="I37" s="111"/>
    </row>
    <row r="38" spans="1:9" ht="20.100000000000001" customHeight="1">
      <c r="A38" s="118" t="s">
        <v>1133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Twenty-Eight Thousand Six Hundred Thirty-Five and 90/100 -----------</v>
      </c>
      <c r="C38" s="202"/>
      <c r="D38" s="119"/>
      <c r="E38" s="119"/>
      <c r="F38" s="119"/>
      <c r="G38" s="119"/>
      <c r="H38" s="119"/>
      <c r="I38" s="111"/>
    </row>
    <row r="39" spans="1:9">
      <c r="A39" s="120" t="s">
        <v>11</v>
      </c>
      <c r="B39" s="111"/>
      <c r="C39" s="111"/>
      <c r="D39" s="111"/>
      <c r="E39" s="111"/>
      <c r="F39" s="111"/>
      <c r="G39" s="111"/>
      <c r="H39" s="111"/>
    </row>
    <row r="40" spans="1:9" ht="25.5">
      <c r="A40" s="126" t="s">
        <v>10</v>
      </c>
      <c r="B40" s="111"/>
      <c r="C40" s="111"/>
      <c r="D40" s="111"/>
      <c r="E40" s="111"/>
      <c r="F40" s="265" t="s">
        <v>2894</v>
      </c>
      <c r="G40" s="266"/>
      <c r="H40" s="267"/>
    </row>
    <row r="41" spans="1:9">
      <c r="A41" s="111"/>
      <c r="B41" s="111"/>
      <c r="C41" s="111"/>
      <c r="D41" s="111"/>
      <c r="E41" s="111"/>
      <c r="F41" s="111"/>
      <c r="G41" s="111"/>
      <c r="H41" s="111"/>
    </row>
    <row r="42" spans="1:9">
      <c r="A42" s="151"/>
      <c r="B42" s="111"/>
      <c r="C42" s="111"/>
      <c r="D42" s="111"/>
      <c r="E42" s="111"/>
      <c r="F42" s="111"/>
      <c r="G42" s="111"/>
      <c r="H42" s="111"/>
    </row>
    <row r="43" spans="1:9">
      <c r="A43" s="111"/>
      <c r="B43" s="111"/>
      <c r="C43" s="111"/>
      <c r="D43" s="121"/>
      <c r="E43" s="121"/>
      <c r="F43" s="111"/>
      <c r="G43" s="111"/>
      <c r="H43" s="111"/>
    </row>
    <row r="44" spans="1:9">
      <c r="A44" s="122"/>
      <c r="B44" s="122"/>
      <c r="C44" s="111"/>
      <c r="D44" s="111"/>
      <c r="E44" s="111"/>
      <c r="F44" s="111"/>
      <c r="G44" s="111"/>
      <c r="H44" s="111"/>
    </row>
    <row r="45" spans="1:9">
      <c r="B45" s="111"/>
      <c r="C45" s="111"/>
      <c r="D45" s="111"/>
      <c r="E45" s="111"/>
      <c r="F45" s="111"/>
      <c r="G45" s="111"/>
      <c r="H45" s="111"/>
    </row>
    <row r="46" spans="1:9">
      <c r="A46" s="123" t="s">
        <v>8</v>
      </c>
      <c r="D46" s="123" t="s">
        <v>8</v>
      </c>
      <c r="E46" s="111"/>
      <c r="F46" s="123" t="s">
        <v>7</v>
      </c>
      <c r="G46" s="111"/>
      <c r="H46" s="124"/>
    </row>
    <row r="47" spans="1:9">
      <c r="A47" s="111"/>
      <c r="B47" s="111"/>
      <c r="C47" s="111"/>
      <c r="D47" s="111"/>
      <c r="E47" s="111"/>
      <c r="F47" s="111"/>
      <c r="G47" s="111"/>
      <c r="H47" s="111"/>
    </row>
    <row r="48" spans="1:9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22"/>
      <c r="B50" s="122"/>
      <c r="C50" s="111"/>
      <c r="D50" s="122"/>
      <c r="E50" s="111"/>
      <c r="F50" s="122"/>
      <c r="G50" s="122"/>
      <c r="H50" s="122"/>
    </row>
    <row r="51" spans="1:8" s="3" customFormat="1" ht="17.100000000000001" customHeight="1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</row>
    <row r="52" spans="1:8">
      <c r="A52" s="111"/>
      <c r="B52" s="111"/>
      <c r="C52" s="111"/>
      <c r="D52" s="111"/>
      <c r="E52" s="111"/>
      <c r="F52" s="111" t="s">
        <v>2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2" t="s">
        <v>1</v>
      </c>
      <c r="G54" s="111"/>
      <c r="H54" s="111"/>
    </row>
    <row r="55" spans="1:8">
      <c r="A55" s="111"/>
      <c r="B55" s="111"/>
      <c r="C55" s="111"/>
      <c r="D55" s="111"/>
      <c r="E55" s="111"/>
      <c r="F55" s="2" t="s">
        <v>0</v>
      </c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6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1-000000000000}">
  <sheetPr codeName="Sheet386"/>
  <dimension ref="A1:F56"/>
  <sheetViews>
    <sheetView view="pageBreakPreview" zoomScaleNormal="100" zoomScaleSheetLayoutView="100" workbookViewId="0">
      <selection activeCell="C18" sqref="C18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3351</v>
      </c>
      <c r="F9" s="111"/>
    </row>
    <row r="10" spans="1:6">
      <c r="A10" s="111" t="s">
        <v>3353</v>
      </c>
      <c r="B10" s="111"/>
      <c r="C10" s="111"/>
      <c r="D10" s="112" t="s">
        <v>1162</v>
      </c>
      <c r="E10" s="112" t="s">
        <v>3352</v>
      </c>
      <c r="F10" s="111"/>
    </row>
    <row r="11" spans="1:6">
      <c r="A11" s="111" t="s">
        <v>3354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1135</v>
      </c>
      <c r="E12" s="112" t="s">
        <v>1270</v>
      </c>
      <c r="F12" s="111"/>
    </row>
    <row r="13" spans="1:6">
      <c r="A13" s="111"/>
      <c r="B13" s="111"/>
      <c r="C13" s="111"/>
      <c r="D13" s="111"/>
      <c r="E13" s="13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48"/>
      <c r="B18" s="111"/>
      <c r="C18" s="2" t="s">
        <v>3355</v>
      </c>
      <c r="D18" s="111"/>
      <c r="E18" s="111"/>
      <c r="F18" s="111"/>
    </row>
    <row r="19" spans="1:6">
      <c r="A19" s="111"/>
      <c r="B19" s="111"/>
      <c r="C19" s="2"/>
      <c r="D19" s="111"/>
      <c r="E19" s="111"/>
      <c r="F19" s="111"/>
    </row>
    <row r="20" spans="1:6">
      <c r="A20" s="161"/>
      <c r="B20" s="111"/>
      <c r="C20" s="120" t="s">
        <v>3356</v>
      </c>
      <c r="D20" s="111"/>
      <c r="E20" s="111"/>
      <c r="F20" s="111">
        <f>4800*0.4954</f>
        <v>2377.92</v>
      </c>
    </row>
    <row r="21" spans="1:6">
      <c r="A21" s="252"/>
      <c r="B21" s="111"/>
      <c r="C21" s="111" t="s">
        <v>3357</v>
      </c>
      <c r="F21" s="111"/>
    </row>
    <row r="22" spans="1:6">
      <c r="A22" s="148"/>
      <c r="B22" s="157"/>
      <c r="C22" s="111" t="s">
        <v>3378</v>
      </c>
      <c r="D22" s="111"/>
      <c r="E22" s="111"/>
      <c r="F22" s="111"/>
    </row>
    <row r="23" spans="1:6">
      <c r="C23" s="111"/>
      <c r="F23" s="111"/>
    </row>
    <row r="24" spans="1:6">
      <c r="A24" s="159"/>
      <c r="B24" s="111"/>
      <c r="C24" s="111" t="s">
        <v>1697</v>
      </c>
      <c r="F24" s="111">
        <v>20</v>
      </c>
    </row>
    <row r="25" spans="1:6">
      <c r="A25" s="252"/>
      <c r="B25" s="111"/>
      <c r="C25" s="111"/>
      <c r="F25" s="111"/>
    </row>
    <row r="26" spans="1:6">
      <c r="A26" s="148"/>
      <c r="C26" s="111" t="s">
        <v>3358</v>
      </c>
      <c r="F26" s="111">
        <v>1.2</v>
      </c>
    </row>
    <row r="27" spans="1:6">
      <c r="B27" s="111"/>
      <c r="C27" s="111"/>
      <c r="F27" s="111"/>
    </row>
    <row r="28" spans="1:6">
      <c r="A28" s="159"/>
      <c r="B28" s="111"/>
      <c r="C28" s="2"/>
      <c r="F28" s="111"/>
    </row>
    <row r="29" spans="1:6">
      <c r="A29" s="252"/>
      <c r="B29" s="111"/>
      <c r="C29" s="111"/>
      <c r="F29" s="111"/>
    </row>
    <row r="30" spans="1:6">
      <c r="A30" s="159"/>
      <c r="B30" s="111"/>
      <c r="C30" s="111"/>
      <c r="F30" s="111"/>
    </row>
    <row r="31" spans="1:6">
      <c r="A31" s="252"/>
      <c r="B31" s="111"/>
      <c r="C31" s="2"/>
      <c r="F31" s="111"/>
    </row>
    <row r="32" spans="1:6">
      <c r="A32" s="148"/>
      <c r="B32" s="111"/>
      <c r="C32" s="111"/>
      <c r="F32" s="111"/>
    </row>
    <row r="33" spans="1:6">
      <c r="A33" s="252"/>
      <c r="B33" s="111"/>
      <c r="C33" s="111"/>
      <c r="F33" s="111"/>
    </row>
    <row r="34" spans="1:6">
      <c r="A34" s="148"/>
      <c r="B34" s="111"/>
      <c r="C34" s="111"/>
      <c r="F34" s="111"/>
    </row>
    <row r="35" spans="1:6" ht="13.5" thickBot="1">
      <c r="A35" s="111"/>
      <c r="B35" s="111"/>
      <c r="C35" s="111"/>
      <c r="D35" s="111"/>
      <c r="E35" s="111"/>
      <c r="F35" s="127">
        <f>SUM(F19:F34)</f>
        <v>2399.12</v>
      </c>
    </row>
    <row r="36" spans="1:6" ht="13.5" thickTop="1">
      <c r="A36" s="126"/>
      <c r="B36" s="111"/>
      <c r="C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Thousand Three Hundred Ninety-Nine and 12/100 -----------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5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B44" s="111"/>
      <c r="C44" s="111"/>
      <c r="D44" s="111"/>
      <c r="E44" s="111"/>
      <c r="F44" s="111"/>
    </row>
    <row r="45" spans="1:6">
      <c r="A45" s="123" t="s">
        <v>8</v>
      </c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6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1-000000000000}">
  <sheetPr codeName="Sheet387">
    <pageSetUpPr fitToPage="1"/>
  </sheetPr>
  <dimension ref="A1:F56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3098</v>
      </c>
      <c r="F9" s="111"/>
    </row>
    <row r="10" spans="1:6">
      <c r="A10" s="111" t="s">
        <v>3102</v>
      </c>
      <c r="B10" s="111"/>
      <c r="C10" s="111"/>
      <c r="D10" s="112" t="s">
        <v>1162</v>
      </c>
      <c r="E10" s="112" t="s">
        <v>3097</v>
      </c>
      <c r="F10" s="111"/>
    </row>
    <row r="11" spans="1:6">
      <c r="A11" s="111" t="s">
        <v>3103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1135</v>
      </c>
      <c r="E12" s="112" t="s">
        <v>3099</v>
      </c>
      <c r="F12" s="111"/>
    </row>
    <row r="13" spans="1:6">
      <c r="A13" s="111"/>
      <c r="B13" s="111"/>
      <c r="C13" s="111"/>
      <c r="D13" s="111"/>
      <c r="E13" s="13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2" t="s">
        <v>3100</v>
      </c>
      <c r="D18" s="111"/>
      <c r="E18" s="111"/>
      <c r="F18" s="111"/>
    </row>
    <row r="19" spans="1:6">
      <c r="A19" s="111"/>
      <c r="B19" s="111"/>
      <c r="C19" s="111"/>
      <c r="D19" s="111"/>
      <c r="E19" s="111"/>
      <c r="F19" s="111"/>
    </row>
    <row r="20" spans="1:6">
      <c r="A20" s="116" t="s">
        <v>11</v>
      </c>
      <c r="B20" s="116"/>
      <c r="C20" s="111" t="s">
        <v>3101</v>
      </c>
      <c r="D20" s="111"/>
      <c r="E20" s="111"/>
      <c r="F20" s="111">
        <v>200</v>
      </c>
    </row>
    <row r="21" spans="1:6">
      <c r="A21" s="116"/>
      <c r="B21" s="116"/>
      <c r="C21" s="111"/>
      <c r="D21" s="111"/>
      <c r="E21" s="111"/>
      <c r="F21" s="111"/>
    </row>
    <row r="22" spans="1:6">
      <c r="C22" s="111"/>
      <c r="D22" s="111"/>
      <c r="E22" s="111"/>
      <c r="F22" s="111"/>
    </row>
    <row r="23" spans="1:6">
      <c r="C23" s="2"/>
      <c r="D23" s="111"/>
      <c r="E23" s="111"/>
      <c r="F23" s="111"/>
    </row>
    <row r="24" spans="1:6">
      <c r="C24" s="2"/>
      <c r="D24" s="111"/>
      <c r="E24" s="111"/>
      <c r="F24" s="111"/>
    </row>
    <row r="25" spans="1:6">
      <c r="A25" s="116"/>
      <c r="B25" s="121"/>
      <c r="C25" s="2"/>
      <c r="D25" s="111"/>
      <c r="E25" s="111"/>
      <c r="F25" s="111"/>
    </row>
    <row r="26" spans="1:6">
      <c r="A26" s="116"/>
      <c r="B26" s="121"/>
      <c r="C26" s="111"/>
      <c r="D26" s="111"/>
      <c r="E26" s="111"/>
      <c r="F26" s="111"/>
    </row>
    <row r="27" spans="1:6">
      <c r="A27" s="116"/>
      <c r="B27" s="121"/>
      <c r="C27" s="111"/>
      <c r="D27" s="111"/>
      <c r="E27" s="111"/>
      <c r="F27" s="111"/>
    </row>
    <row r="28" spans="1:6">
      <c r="A28" s="116"/>
      <c r="B28" s="121"/>
      <c r="C28" s="111"/>
      <c r="D28" s="111"/>
      <c r="E28" s="111"/>
      <c r="F28" s="111"/>
    </row>
    <row r="29" spans="1:6">
      <c r="A29" s="116"/>
      <c r="B29" s="120"/>
      <c r="C29" s="111"/>
      <c r="D29" s="111"/>
      <c r="E29" s="111"/>
      <c r="F29" s="111"/>
    </row>
    <row r="30" spans="1:6">
      <c r="A30" s="116"/>
      <c r="B30" s="120"/>
      <c r="C30" s="111"/>
      <c r="D30" s="111"/>
      <c r="E30" s="111"/>
      <c r="F30" s="111"/>
    </row>
    <row r="31" spans="1:6">
      <c r="A31" s="159"/>
      <c r="B31" s="120"/>
      <c r="C31" s="111"/>
      <c r="D31" s="111"/>
      <c r="E31" s="111"/>
      <c r="F31" s="111"/>
    </row>
    <row r="32" spans="1:6">
      <c r="A32" s="159"/>
      <c r="B32" s="120"/>
      <c r="C32" s="111"/>
      <c r="D32" s="111"/>
      <c r="E32" s="111"/>
      <c r="F32" s="111"/>
    </row>
    <row r="33" spans="1:6">
      <c r="A33" s="252"/>
      <c r="B33" s="120"/>
      <c r="C33" s="111"/>
      <c r="D33" s="111"/>
      <c r="E33" s="111"/>
      <c r="F33" s="111"/>
    </row>
    <row r="34" spans="1:6">
      <c r="A34" s="148"/>
      <c r="B34" s="111"/>
      <c r="C34" s="111"/>
      <c r="D34" s="111"/>
      <c r="E34" s="111"/>
    </row>
    <row r="35" spans="1:6" ht="13.5" thickBot="1">
      <c r="A35" s="111"/>
      <c r="B35" s="111"/>
      <c r="C35" s="111"/>
      <c r="D35" s="111"/>
      <c r="E35" s="111"/>
      <c r="F35" s="117">
        <f>SUM(F20:F34)</f>
        <v>200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Hundred and NO/100 -----------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B44" s="111"/>
      <c r="C44" s="111"/>
      <c r="D44" s="111"/>
      <c r="E44" s="111"/>
      <c r="F44" s="111"/>
    </row>
    <row r="45" spans="1:6">
      <c r="A45" s="123" t="s">
        <v>8</v>
      </c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1-000000000000}">
  <sheetPr codeName="Sheet388">
    <pageSetUpPr fitToPage="1"/>
  </sheetPr>
  <dimension ref="A1:G52"/>
  <sheetViews>
    <sheetView topLeftCell="A7" workbookViewId="0">
      <selection activeCell="G9" sqref="G9:G13"/>
    </sheetView>
  </sheetViews>
  <sheetFormatPr defaultRowHeight="12.75"/>
  <cols>
    <col min="1" max="1" width="15.85546875" style="131" customWidth="1"/>
    <col min="2" max="2" width="11.85546875" style="131" customWidth="1"/>
    <col min="3" max="3" width="21" style="131" customWidth="1"/>
    <col min="4" max="4" width="16.42578125" style="131" customWidth="1"/>
    <col min="5" max="5" width="8.285156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1123</v>
      </c>
      <c r="E9" s="212" t="s">
        <v>3061</v>
      </c>
    </row>
    <row r="10" spans="1:6">
      <c r="A10" s="131" t="s">
        <v>3062</v>
      </c>
      <c r="D10" s="132" t="s">
        <v>1124</v>
      </c>
      <c r="E10" s="212" t="s">
        <v>3059</v>
      </c>
    </row>
    <row r="11" spans="1:6">
      <c r="A11" s="131" t="s">
        <v>3063</v>
      </c>
      <c r="D11" s="132" t="s">
        <v>1125</v>
      </c>
      <c r="E11" s="212" t="s">
        <v>1094</v>
      </c>
    </row>
    <row r="12" spans="1:6">
      <c r="A12" s="131" t="s">
        <v>3064</v>
      </c>
      <c r="D12" s="132" t="s">
        <v>1096</v>
      </c>
      <c r="E12" s="212" t="s">
        <v>1270</v>
      </c>
    </row>
    <row r="13" spans="1:6">
      <c r="A13" s="131" t="s">
        <v>3065</v>
      </c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8" spans="1:7">
      <c r="A18" s="158"/>
      <c r="B18" s="158"/>
      <c r="C18" s="110" t="s">
        <v>3066</v>
      </c>
      <c r="G18" s="250"/>
    </row>
    <row r="20" spans="1:7">
      <c r="A20" s="158" t="s">
        <v>3067</v>
      </c>
      <c r="B20" s="158" t="s">
        <v>1920</v>
      </c>
      <c r="C20" s="131" t="s">
        <v>3068</v>
      </c>
      <c r="F20" s="131">
        <v>30000</v>
      </c>
    </row>
    <row r="21" spans="1:7">
      <c r="A21" s="158"/>
      <c r="B21" s="158"/>
    </row>
    <row r="22" spans="1:7">
      <c r="A22" s="158"/>
      <c r="B22" s="158"/>
      <c r="C22" s="200" t="s">
        <v>3069</v>
      </c>
    </row>
    <row r="23" spans="1:7">
      <c r="A23" s="158"/>
      <c r="B23" s="158"/>
    </row>
    <row r="25" spans="1:7">
      <c r="A25" s="158"/>
      <c r="B25" s="158"/>
      <c r="C25" s="200"/>
    </row>
    <row r="27" spans="1:7">
      <c r="A27" s="158"/>
      <c r="B27" s="158"/>
    </row>
    <row r="29" spans="1:7">
      <c r="A29" s="158"/>
      <c r="B29" s="158"/>
      <c r="C29" s="110"/>
    </row>
    <row r="30" spans="1:7">
      <c r="C30" s="110"/>
    </row>
    <row r="31" spans="1:7">
      <c r="A31" s="281"/>
      <c r="B31" s="281"/>
    </row>
    <row r="33" spans="1:6" ht="13.5" thickBot="1">
      <c r="F33" s="137">
        <f>SUM(F18:F31)</f>
        <v>30000</v>
      </c>
    </row>
    <row r="34" spans="1:6" ht="13.5" thickTop="1"/>
    <row r="35" spans="1:6" ht="20.100000000000001" customHeight="1">
      <c r="A35" s="138" t="s">
        <v>1133</v>
      </c>
      <c r="B35" s="204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Thirty Thousand and NO/100 -----------</v>
      </c>
      <c r="C35" s="139"/>
      <c r="D35" s="282"/>
      <c r="E35" s="282"/>
      <c r="F35" s="282"/>
    </row>
    <row r="36" spans="1:6" ht="20.100000000000001" customHeight="1">
      <c r="A36" s="212"/>
      <c r="B36" s="145"/>
      <c r="C36" s="147"/>
      <c r="D36" s="282"/>
      <c r="E36" s="282"/>
      <c r="F36" s="282"/>
    </row>
    <row r="37" spans="1:6" ht="25.5">
      <c r="A37" s="212" t="s">
        <v>3060</v>
      </c>
      <c r="D37" s="283" t="s">
        <v>2894</v>
      </c>
      <c r="E37" s="284"/>
      <c r="F37" s="285"/>
    </row>
    <row r="38" spans="1:6">
      <c r="D38" s="286"/>
      <c r="E38" s="287"/>
      <c r="F38" s="287"/>
    </row>
    <row r="39" spans="1:6">
      <c r="C39" s="141"/>
    </row>
    <row r="40" spans="1:6">
      <c r="C40" s="141"/>
    </row>
    <row r="41" spans="1:6">
      <c r="A41" s="142"/>
      <c r="B41" s="142"/>
    </row>
    <row r="43" spans="1:6">
      <c r="A43" s="143" t="s">
        <v>8</v>
      </c>
      <c r="D43" s="143" t="s">
        <v>7</v>
      </c>
      <c r="F43" s="144"/>
    </row>
    <row r="47" spans="1:6">
      <c r="A47" s="142"/>
      <c r="B47" s="142"/>
      <c r="D47" s="142"/>
      <c r="E47" s="142"/>
      <c r="F47" s="142"/>
    </row>
    <row r="48" spans="1:6" s="147" customFormat="1" ht="17.100000000000001" customHeight="1">
      <c r="A48" s="131" t="s">
        <v>2948</v>
      </c>
      <c r="B48" s="146"/>
      <c r="D48" s="147" t="s">
        <v>3</v>
      </c>
    </row>
    <row r="49" spans="4:4">
      <c r="D49" s="131" t="s">
        <v>2</v>
      </c>
    </row>
    <row r="51" spans="4:4">
      <c r="D51" s="110" t="s">
        <v>1</v>
      </c>
    </row>
    <row r="52" spans="4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5F3AF-B40A-4D22-BC17-AA8241A6C798}">
  <sheetPr codeName="Sheet558"/>
  <dimension ref="A1:I60"/>
  <sheetViews>
    <sheetView view="pageBreakPreview" topLeftCell="A4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2.5703125" style="227" customWidth="1"/>
    <col min="3" max="3" width="1.42578125" style="227" customWidth="1"/>
    <col min="4" max="4" width="19.85546875" style="227" customWidth="1"/>
    <col min="5" max="5" width="0.85546875" style="227" customWidth="1"/>
    <col min="6" max="6" width="16.42578125" style="227" customWidth="1"/>
    <col min="7" max="7" width="11.42578125" style="227" customWidth="1"/>
    <col min="8" max="8" width="13.28515625" style="227" customWidth="1"/>
    <col min="9" max="9" width="16.140625" style="209" customWidth="1"/>
    <col min="10" max="11" width="9.140625" style="209"/>
    <col min="12" max="12" width="9.7109375" style="209" bestFit="1" customWidth="1"/>
    <col min="13" max="16384" width="9.140625" style="209"/>
  </cols>
  <sheetData>
    <row r="1" spans="1:9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9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9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9" ht="12.75" customHeight="1">
      <c r="A4" s="532" t="s">
        <v>1684</v>
      </c>
      <c r="B4" s="532"/>
      <c r="C4" s="532"/>
      <c r="D4" s="532"/>
      <c r="E4" s="532"/>
      <c r="F4" s="532"/>
      <c r="G4" s="532"/>
      <c r="H4" s="532"/>
    </row>
    <row r="5" spans="1:9" ht="12.75" hidden="1" customHeight="1">
      <c r="A5" s="131"/>
      <c r="B5" s="131"/>
      <c r="C5" s="131"/>
      <c r="D5" s="131"/>
      <c r="E5" s="131"/>
      <c r="F5" s="131"/>
      <c r="G5" s="131"/>
      <c r="H5" s="131"/>
    </row>
    <row r="6" spans="1:9" ht="12.75" hidden="1" customHeight="1">
      <c r="A6" s="131"/>
      <c r="B6" s="131"/>
      <c r="C6" s="131"/>
      <c r="D6" s="131"/>
      <c r="E6" s="131"/>
      <c r="F6" s="131"/>
      <c r="G6" s="131"/>
      <c r="H6" s="131"/>
    </row>
    <row r="7" spans="1:9" ht="12.75" customHeight="1">
      <c r="A7" s="131"/>
      <c r="B7" s="131"/>
      <c r="C7" s="131"/>
      <c r="D7" s="131"/>
      <c r="E7" s="131"/>
      <c r="F7" s="131"/>
      <c r="G7" s="131"/>
      <c r="H7" s="131"/>
    </row>
    <row r="8" spans="1:9" s="211" customFormat="1" ht="12.75" customHeight="1">
      <c r="A8" s="147" t="s">
        <v>24</v>
      </c>
      <c r="B8" s="147"/>
      <c r="C8" s="147"/>
      <c r="D8" s="147"/>
      <c r="E8" s="147"/>
      <c r="F8" s="210" t="s">
        <v>23</v>
      </c>
      <c r="G8" s="147"/>
      <c r="H8" s="147"/>
    </row>
    <row r="9" spans="1:9" s="211" customFormat="1" ht="12.75" customHeight="1">
      <c r="A9" s="147"/>
      <c r="B9" s="147"/>
      <c r="C9" s="147"/>
      <c r="D9" s="147"/>
      <c r="E9" s="147"/>
      <c r="F9" s="212" t="s">
        <v>1723</v>
      </c>
      <c r="G9" s="489" t="s">
        <v>7080</v>
      </c>
      <c r="H9" s="111"/>
    </row>
    <row r="10" spans="1:9" s="211" customFormat="1" ht="12.75" customHeight="1">
      <c r="A10" s="147" t="s">
        <v>3319</v>
      </c>
      <c r="B10" s="147"/>
      <c r="C10" s="147"/>
      <c r="D10" s="147"/>
      <c r="E10" s="147"/>
      <c r="F10" s="212" t="s">
        <v>1340</v>
      </c>
      <c r="G10" s="489" t="s">
        <v>7079</v>
      </c>
      <c r="H10" s="111"/>
    </row>
    <row r="11" spans="1:9" s="211" customFormat="1" ht="12.75" customHeight="1">
      <c r="A11" s="147" t="s">
        <v>3320</v>
      </c>
      <c r="B11" s="147"/>
      <c r="C11" s="147"/>
      <c r="D11" s="147"/>
      <c r="E11" s="147"/>
      <c r="F11" s="212" t="s">
        <v>1341</v>
      </c>
      <c r="G11" s="489" t="s">
        <v>1094</v>
      </c>
      <c r="H11" s="111"/>
    </row>
    <row r="12" spans="1:9" s="211" customFormat="1" ht="12.75" customHeight="1">
      <c r="A12" s="147" t="s">
        <v>2902</v>
      </c>
      <c r="B12" s="147"/>
      <c r="C12" s="147"/>
      <c r="D12" s="147"/>
      <c r="E12" s="147"/>
      <c r="F12" s="212" t="s">
        <v>2136</v>
      </c>
      <c r="G12" s="483" t="s">
        <v>7081</v>
      </c>
      <c r="H12" s="111"/>
    </row>
    <row r="13" spans="1:9" s="211" customFormat="1" ht="12.75" customHeight="1">
      <c r="A13" s="147" t="s">
        <v>1287</v>
      </c>
      <c r="B13" s="147"/>
      <c r="C13" s="147"/>
      <c r="D13" s="147"/>
      <c r="E13" s="147"/>
      <c r="F13" s="147"/>
      <c r="G13" s="483" t="s">
        <v>5914</v>
      </c>
      <c r="H13" s="147"/>
    </row>
    <row r="14" spans="1:9" s="211" customFormat="1" ht="12.75" customHeight="1">
      <c r="A14" s="147" t="s">
        <v>3321</v>
      </c>
      <c r="B14" s="147"/>
      <c r="C14" s="147"/>
      <c r="D14" s="147"/>
      <c r="E14" s="147"/>
      <c r="F14" s="147"/>
      <c r="G14" s="483"/>
      <c r="H14" s="147"/>
    </row>
    <row r="15" spans="1:9" s="213" customFormat="1" ht="12.75" customHeight="1">
      <c r="A15" s="147"/>
      <c r="B15" s="147"/>
      <c r="C15" s="147"/>
      <c r="D15" s="147"/>
      <c r="E15" s="147"/>
      <c r="F15" s="147"/>
      <c r="G15" s="147"/>
      <c r="H15" s="147"/>
    </row>
    <row r="16" spans="1:9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I16" s="214"/>
    </row>
    <row r="17" spans="1:9" s="213" customFormat="1" ht="12.75" customHeight="1">
      <c r="A17" s="215"/>
      <c r="B17" s="216"/>
      <c r="C17" s="216"/>
      <c r="D17" s="217"/>
      <c r="E17" s="217"/>
      <c r="F17" s="216"/>
      <c r="G17" s="218"/>
      <c r="H17" s="219"/>
      <c r="I17" s="214"/>
    </row>
    <row r="18" spans="1:9" s="213" customFormat="1" ht="12.75" customHeight="1">
      <c r="A18" s="222"/>
      <c r="B18" s="281"/>
      <c r="C18" s="281"/>
      <c r="D18" s="319" t="s">
        <v>5925</v>
      </c>
      <c r="E18" s="145"/>
      <c r="F18" s="145"/>
      <c r="G18" s="145"/>
      <c r="H18" s="320"/>
      <c r="I18" s="318"/>
    </row>
    <row r="19" spans="1:9" s="213" customFormat="1" ht="12.75" customHeight="1">
      <c r="A19" s="222"/>
      <c r="B19" s="281"/>
      <c r="C19" s="281"/>
      <c r="D19" s="145"/>
      <c r="E19" s="145"/>
      <c r="F19" s="145"/>
      <c r="G19" s="145"/>
      <c r="H19" s="320"/>
      <c r="I19" s="318"/>
    </row>
    <row r="20" spans="1:9" s="213" customFormat="1" ht="12.75" customHeight="1">
      <c r="A20" s="492" t="s">
        <v>7082</v>
      </c>
      <c r="B20" s="281" t="s">
        <v>7083</v>
      </c>
      <c r="C20" s="281"/>
      <c r="D20" s="145" t="s">
        <v>7084</v>
      </c>
      <c r="E20" s="145"/>
      <c r="F20" s="145"/>
      <c r="G20" s="145"/>
      <c r="H20" s="320">
        <v>400</v>
      </c>
      <c r="I20" s="318"/>
    </row>
    <row r="21" spans="1:9" s="213" customFormat="1" ht="12.75" customHeight="1">
      <c r="A21" s="222"/>
      <c r="B21" s="281"/>
      <c r="C21" s="281"/>
      <c r="D21" s="145"/>
      <c r="E21" s="145"/>
      <c r="F21" s="145"/>
      <c r="G21" s="145"/>
      <c r="H21" s="320"/>
      <c r="I21" s="318"/>
    </row>
    <row r="22" spans="1:9" s="213" customFormat="1" ht="12.75" customHeight="1">
      <c r="D22" s="494" t="s">
        <v>7085</v>
      </c>
      <c r="E22" s="145"/>
      <c r="F22" s="145"/>
      <c r="G22" s="145"/>
      <c r="H22" s="320">
        <v>2000</v>
      </c>
      <c r="I22" s="318"/>
    </row>
    <row r="23" spans="1:9" s="227" customFormat="1" ht="12.75" customHeight="1">
      <c r="A23" s="158"/>
      <c r="B23" s="281"/>
      <c r="C23" s="281"/>
      <c r="D23" s="145"/>
      <c r="E23" s="145"/>
      <c r="F23" s="145"/>
      <c r="G23" s="145"/>
      <c r="H23" s="320"/>
    </row>
    <row r="24" spans="1:9" s="227" customFormat="1" ht="12.75" customHeight="1">
      <c r="A24" s="158"/>
      <c r="B24" s="281"/>
      <c r="C24" s="281"/>
      <c r="D24" s="145" t="s">
        <v>7086</v>
      </c>
      <c r="E24" s="145"/>
      <c r="F24" s="145"/>
      <c r="G24" s="145"/>
      <c r="H24" s="320">
        <v>130</v>
      </c>
    </row>
    <row r="25" spans="1:9" s="227" customFormat="1" ht="12.75" customHeight="1">
      <c r="A25" s="222"/>
      <c r="B25" s="158"/>
      <c r="C25" s="281"/>
      <c r="D25" s="145"/>
      <c r="E25" s="145"/>
      <c r="F25" s="145"/>
      <c r="G25" s="145"/>
      <c r="H25" s="320"/>
    </row>
    <row r="26" spans="1:9" s="227" customFormat="1" ht="12.75" customHeight="1">
      <c r="A26" s="222"/>
      <c r="B26" s="281"/>
      <c r="C26" s="281"/>
      <c r="D26" s="319"/>
      <c r="E26" s="145"/>
      <c r="F26" s="145"/>
      <c r="G26" s="145"/>
      <c r="H26" s="320"/>
    </row>
    <row r="27" spans="1:9" s="227" customFormat="1" ht="12.75" customHeight="1">
      <c r="A27" s="222"/>
      <c r="B27" s="281"/>
      <c r="C27" s="281"/>
      <c r="D27" s="319"/>
      <c r="E27" s="145"/>
      <c r="F27" s="145"/>
      <c r="G27" s="145"/>
      <c r="H27" s="320"/>
    </row>
    <row r="28" spans="1:9" s="227" customFormat="1" ht="12.75" customHeight="1">
      <c r="A28" s="158"/>
      <c r="B28" s="281"/>
      <c r="C28" s="281"/>
      <c r="D28" s="145"/>
      <c r="E28" s="145"/>
      <c r="F28" s="145"/>
      <c r="G28" s="145"/>
      <c r="H28" s="320"/>
    </row>
    <row r="29" spans="1:9" s="227" customFormat="1" ht="12.75" customHeight="1">
      <c r="A29" s="222"/>
      <c r="B29" s="281"/>
      <c r="C29" s="281"/>
      <c r="D29" s="145"/>
      <c r="E29" s="145"/>
      <c r="F29" s="145"/>
      <c r="G29" s="145"/>
      <c r="H29" s="320"/>
    </row>
    <row r="30" spans="1:9" s="227" customFormat="1" ht="12.75" customHeight="1">
      <c r="A30" s="222"/>
      <c r="B30" s="281"/>
      <c r="C30" s="281"/>
      <c r="D30" s="319"/>
      <c r="E30" s="145"/>
      <c r="F30" s="145"/>
      <c r="G30" s="145"/>
      <c r="H30" s="320"/>
    </row>
    <row r="31" spans="1:9" s="227" customFormat="1" ht="12.75" customHeight="1">
      <c r="A31" s="222"/>
      <c r="B31" s="281"/>
      <c r="C31" s="281"/>
      <c r="D31" s="145"/>
      <c r="E31" s="145"/>
      <c r="F31" s="145"/>
      <c r="G31" s="145"/>
      <c r="H31" s="320"/>
    </row>
    <row r="32" spans="1:9" s="227" customFormat="1" ht="12.75" customHeight="1">
      <c r="A32" s="222"/>
      <c r="B32" s="281"/>
      <c r="C32" s="281"/>
      <c r="D32" s="145"/>
      <c r="E32" s="145"/>
      <c r="F32" s="145"/>
      <c r="G32" s="145"/>
      <c r="H32" s="320"/>
    </row>
    <row r="33" spans="1:9" s="227" customFormat="1" ht="15.75" customHeight="1">
      <c r="A33" s="222"/>
      <c r="B33" s="281"/>
      <c r="C33" s="281"/>
      <c r="D33" s="145"/>
      <c r="E33" s="145"/>
      <c r="F33" s="145"/>
      <c r="G33" s="145"/>
      <c r="H33" s="320"/>
    </row>
    <row r="34" spans="1:9" s="227" customFormat="1" ht="12.75" customHeight="1">
      <c r="A34" s="222"/>
      <c r="B34" s="281"/>
      <c r="C34" s="281"/>
      <c r="D34" s="145"/>
      <c r="E34" s="145"/>
      <c r="F34" s="145"/>
      <c r="G34" s="145"/>
      <c r="H34" s="320"/>
    </row>
    <row r="35" spans="1:9" s="211" customFormat="1" ht="15.75" customHeight="1" thickBot="1">
      <c r="A35" s="229"/>
      <c r="B35" s="224"/>
      <c r="C35" s="224"/>
      <c r="D35" s="224"/>
      <c r="E35" s="224"/>
      <c r="F35" s="224"/>
      <c r="G35" s="224"/>
      <c r="H35" s="230">
        <f>SUM(H18:H34)</f>
        <v>2530</v>
      </c>
      <c r="I35" s="221"/>
    </row>
    <row r="36" spans="1:9" s="211" customFormat="1" ht="12.75" customHeight="1" thickTop="1">
      <c r="A36" s="229"/>
      <c r="B36" s="224"/>
      <c r="C36" s="224"/>
      <c r="D36" s="224"/>
      <c r="E36" s="224"/>
      <c r="F36" s="224"/>
      <c r="G36" s="224"/>
      <c r="H36" s="224"/>
      <c r="I36" s="221"/>
    </row>
    <row r="37" spans="1:9" ht="20.100000000000001" customHeight="1">
      <c r="A37" s="138" t="s">
        <v>1133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Thousand Five Hundred Thirty and NO/100 -----------</v>
      </c>
      <c r="C37" s="204"/>
      <c r="D37" s="231"/>
      <c r="E37" s="231"/>
      <c r="F37" s="231"/>
      <c r="G37" s="231"/>
      <c r="H37" s="231"/>
    </row>
    <row r="38" spans="1:9" ht="12.75" customHeight="1">
      <c r="A38" s="232"/>
    </row>
    <row r="39" spans="1:9" ht="27" customHeight="1">
      <c r="A39" s="131" t="s">
        <v>10</v>
      </c>
      <c r="B39" s="131"/>
      <c r="C39" s="131"/>
      <c r="D39" s="131"/>
      <c r="E39" s="131"/>
      <c r="F39" s="283" t="s">
        <v>2894</v>
      </c>
      <c r="G39" s="284"/>
      <c r="H39" s="285"/>
    </row>
    <row r="40" spans="1:9" ht="12.75" customHeight="1">
      <c r="A40" s="131"/>
      <c r="B40" s="131"/>
      <c r="C40" s="131"/>
      <c r="D40" s="131"/>
      <c r="E40" s="131"/>
      <c r="F40" s="131"/>
      <c r="G40" s="131"/>
      <c r="H40" s="131"/>
    </row>
    <row r="41" spans="1:9" ht="12.75" customHeight="1">
      <c r="A41" s="131"/>
      <c r="B41" s="131"/>
      <c r="C41" s="131"/>
      <c r="D41" s="131"/>
      <c r="E41" s="131"/>
      <c r="F41" s="131"/>
      <c r="G41" s="131"/>
      <c r="H41" s="131"/>
    </row>
    <row r="42" spans="1:9">
      <c r="A42" s="301"/>
      <c r="B42" s="131"/>
      <c r="C42" s="131"/>
      <c r="D42" s="131"/>
      <c r="E42" s="131"/>
      <c r="F42" s="291"/>
      <c r="G42" s="291"/>
      <c r="H42" s="291"/>
    </row>
    <row r="43" spans="1:9">
      <c r="A43" s="248"/>
      <c r="B43" s="142"/>
      <c r="C43" s="131"/>
      <c r="D43" s="131"/>
      <c r="E43" s="131"/>
      <c r="F43" s="286"/>
      <c r="G43" s="287"/>
      <c r="H43" s="287"/>
    </row>
    <row r="44" spans="1:9" ht="12.75" customHeight="1">
      <c r="A44" s="301"/>
      <c r="B44" s="301"/>
      <c r="C44" s="301"/>
      <c r="D44" s="131"/>
      <c r="E44" s="131"/>
      <c r="F44" s="131"/>
      <c r="G44" s="131"/>
      <c r="H44" s="144"/>
    </row>
    <row r="45" spans="1:9" ht="12.75" customHeight="1">
      <c r="A45" s="301"/>
      <c r="B45" s="301"/>
      <c r="C45" s="301"/>
      <c r="D45" s="301"/>
      <c r="E45" s="131"/>
      <c r="F45" s="131"/>
      <c r="G45" s="131"/>
      <c r="H45" s="144"/>
    </row>
    <row r="46" spans="1:9" ht="12.75" customHeight="1">
      <c r="A46" s="143" t="s">
        <v>8</v>
      </c>
      <c r="B46" s="131"/>
      <c r="C46" s="131"/>
      <c r="D46" s="143" t="s">
        <v>8</v>
      </c>
      <c r="E46" s="131"/>
      <c r="F46" s="131"/>
      <c r="G46" s="131"/>
      <c r="H46" s="131"/>
    </row>
    <row r="47" spans="1:9" ht="12.75" customHeight="1">
      <c r="A47" s="301"/>
      <c r="B47" s="131"/>
      <c r="C47" s="131"/>
      <c r="D47" s="301"/>
      <c r="E47" s="131"/>
      <c r="F47" s="143" t="s">
        <v>7</v>
      </c>
      <c r="G47" s="131"/>
      <c r="H47" s="131"/>
    </row>
    <row r="48" spans="1:9" ht="12.75" customHeight="1">
      <c r="A48" s="143"/>
      <c r="B48" s="131"/>
      <c r="C48" s="131"/>
      <c r="D48" s="143"/>
      <c r="E48" s="131"/>
      <c r="F48" s="131"/>
      <c r="G48" s="131"/>
      <c r="H48" s="131"/>
    </row>
    <row r="49" spans="1:8" ht="12.75" customHeight="1">
      <c r="A49" s="143"/>
      <c r="B49" s="131"/>
      <c r="C49" s="131"/>
      <c r="D49" s="143"/>
      <c r="E49" s="131"/>
      <c r="F49" s="131"/>
      <c r="G49" s="131"/>
      <c r="H49" s="131"/>
    </row>
    <row r="50" spans="1:8" s="211" customFormat="1" ht="12.75" customHeight="1">
      <c r="A50" s="143"/>
      <c r="B50" s="131"/>
      <c r="C50" s="131"/>
      <c r="D50" s="143"/>
      <c r="E50" s="131"/>
      <c r="F50" s="131"/>
      <c r="G50" s="147"/>
      <c r="H50" s="147"/>
    </row>
    <row r="51" spans="1:8" ht="12.75" customHeight="1">
      <c r="A51" s="248"/>
      <c r="B51" s="142"/>
      <c r="C51" s="131"/>
      <c r="D51" s="248"/>
      <c r="E51" s="142"/>
      <c r="F51" s="142"/>
      <c r="G51" s="142"/>
      <c r="H51" s="142"/>
    </row>
    <row r="52" spans="1:8" ht="15" customHeight="1">
      <c r="A52" s="143" t="s">
        <v>2948</v>
      </c>
      <c r="B52" s="146"/>
      <c r="C52" s="146"/>
      <c r="D52" s="143" t="s">
        <v>103</v>
      </c>
      <c r="E52" s="146"/>
      <c r="F52" s="147" t="s">
        <v>3</v>
      </c>
      <c r="G52" s="131"/>
      <c r="H52" s="131"/>
    </row>
    <row r="53" spans="1:8" ht="12.75" customHeight="1">
      <c r="A53" s="143"/>
      <c r="B53" s="131"/>
      <c r="C53" s="131"/>
      <c r="D53" s="131"/>
      <c r="E53" s="131"/>
      <c r="F53" s="131" t="s">
        <v>2</v>
      </c>
      <c r="G53" s="131"/>
      <c r="H53" s="131"/>
    </row>
    <row r="54" spans="1:8" ht="12.75" customHeight="1">
      <c r="A54" s="131"/>
      <c r="B54" s="131"/>
      <c r="C54" s="131"/>
      <c r="D54" s="131"/>
      <c r="E54" s="131"/>
      <c r="F54" s="131"/>
      <c r="G54" s="131"/>
      <c r="H54" s="131"/>
    </row>
    <row r="55" spans="1:8" ht="12.75" customHeight="1">
      <c r="A55" s="131"/>
      <c r="B55" s="131"/>
      <c r="C55" s="131"/>
      <c r="D55" s="131"/>
      <c r="E55" s="131"/>
      <c r="F55" s="110" t="s">
        <v>1</v>
      </c>
      <c r="G55" s="131"/>
      <c r="H55" s="131"/>
    </row>
    <row r="56" spans="1:8" ht="12.75" customHeight="1">
      <c r="A56" s="131"/>
      <c r="B56" s="131"/>
      <c r="C56" s="131"/>
      <c r="D56" s="131"/>
      <c r="E56" s="131"/>
      <c r="F56" s="110" t="s">
        <v>0</v>
      </c>
      <c r="G56" s="131"/>
      <c r="H56" s="131"/>
    </row>
    <row r="57" spans="1:8" ht="12.75" customHeight="1">
      <c r="A57" s="131"/>
      <c r="B57" s="131"/>
      <c r="C57" s="131"/>
      <c r="D57" s="131"/>
      <c r="E57" s="131"/>
      <c r="F57" s="131"/>
      <c r="G57" s="131"/>
      <c r="H57" s="131"/>
    </row>
    <row r="58" spans="1:8" ht="12.75" customHeight="1">
      <c r="A58" s="131"/>
      <c r="B58" s="131"/>
      <c r="C58" s="131"/>
      <c r="D58" s="131"/>
      <c r="E58" s="131"/>
      <c r="F58" s="131"/>
      <c r="G58" s="131"/>
      <c r="H58" s="131"/>
    </row>
    <row r="59" spans="1:8">
      <c r="A59" s="131"/>
      <c r="B59" s="131"/>
      <c r="C59" s="131"/>
      <c r="D59" s="131"/>
      <c r="E59" s="131"/>
      <c r="F59" s="131"/>
      <c r="G59" s="131"/>
      <c r="H59" s="131"/>
    </row>
    <row r="60" spans="1:8">
      <c r="A60" s="131"/>
      <c r="B60" s="131"/>
      <c r="C60" s="131"/>
      <c r="D60" s="131"/>
      <c r="E60" s="131"/>
      <c r="F60" s="131"/>
      <c r="G60" s="131"/>
      <c r="H60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90" orientation="portrait" r:id="rId1"/>
  <headerFooter alignWithMargins="0">
    <oddFooter>Page &amp;P of &amp;N</oddFooter>
  </headerFooter>
</worksheet>
</file>

<file path=xl/worksheets/sheet6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1-000000000000}">
  <sheetPr codeName="Sheet310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4.28515625" style="111" customWidth="1"/>
    <col min="2" max="2" width="14" style="111" customWidth="1"/>
    <col min="3" max="3" width="23" style="111" customWidth="1"/>
    <col min="4" max="4" width="12" style="111" customWidth="1"/>
    <col min="5" max="5" width="9.710937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1239</v>
      </c>
      <c r="E9" s="147" t="s">
        <v>2529</v>
      </c>
    </row>
    <row r="10" spans="1:6">
      <c r="A10" s="111" t="s">
        <v>2530</v>
      </c>
      <c r="D10" s="112" t="s">
        <v>1124</v>
      </c>
      <c r="E10" s="212" t="s">
        <v>2517</v>
      </c>
    </row>
    <row r="11" spans="1:6">
      <c r="A11" s="111" t="s">
        <v>2531</v>
      </c>
      <c r="D11" s="112" t="s">
        <v>1125</v>
      </c>
      <c r="E11" s="212" t="s">
        <v>1094</v>
      </c>
    </row>
    <row r="12" spans="1:6">
      <c r="A12" s="111" t="s">
        <v>2532</v>
      </c>
      <c r="D12" s="112" t="s">
        <v>1096</v>
      </c>
      <c r="E12" s="212" t="s">
        <v>2538</v>
      </c>
    </row>
    <row r="13" spans="1:6">
      <c r="A13" s="111" t="s">
        <v>2533</v>
      </c>
    </row>
    <row r="14" spans="1:6">
      <c r="A14" s="111" t="s">
        <v>1257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A18" s="116"/>
      <c r="B18" s="116"/>
      <c r="C18" s="2" t="s">
        <v>2516</v>
      </c>
    </row>
    <row r="19" spans="1:6">
      <c r="A19" s="116"/>
      <c r="B19" s="116"/>
    </row>
    <row r="20" spans="1:6">
      <c r="A20" s="116" t="s">
        <v>2534</v>
      </c>
      <c r="B20" s="116"/>
      <c r="C20" s="111" t="s">
        <v>2535</v>
      </c>
      <c r="F20" s="111">
        <v>1500</v>
      </c>
    </row>
    <row r="22" spans="1:6">
      <c r="A22" s="116"/>
      <c r="B22" s="116"/>
    </row>
    <row r="30" spans="1:6">
      <c r="A30" s="153"/>
    </row>
    <row r="31" spans="1:6">
      <c r="A31" s="153"/>
    </row>
    <row r="32" spans="1:6">
      <c r="A32" s="153"/>
    </row>
    <row r="33" spans="1:6" ht="13.5" thickBot="1">
      <c r="A33" s="153"/>
      <c r="F33" s="117">
        <f>SUM(F20:F32)</f>
        <v>1500</v>
      </c>
    </row>
    <row r="34" spans="1:6" ht="13.5" thickTop="1">
      <c r="A34" s="153"/>
    </row>
    <row r="35" spans="1:6" ht="20.100000000000001" customHeight="1">
      <c r="A35" s="118" t="s">
        <v>204</v>
      </c>
      <c r="B35" s="202" t="s">
        <v>2042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1-000000000000}">
  <sheetPr codeName="Sheet311">
    <pageSetUpPr fitToPage="1"/>
  </sheetPr>
  <dimension ref="A1:G54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4708</v>
      </c>
      <c r="F9" s="111"/>
    </row>
    <row r="10" spans="1:6">
      <c r="A10" s="111" t="s">
        <v>2692</v>
      </c>
      <c r="B10" s="111"/>
      <c r="C10" s="111"/>
      <c r="D10" s="112" t="s">
        <v>1162</v>
      </c>
      <c r="E10" s="112" t="s">
        <v>4705</v>
      </c>
      <c r="F10" s="111"/>
    </row>
    <row r="11" spans="1:6">
      <c r="A11" s="111" t="s">
        <v>2693</v>
      </c>
      <c r="B11" s="111"/>
      <c r="C11" s="111"/>
      <c r="D11" s="112" t="s">
        <v>1163</v>
      </c>
      <c r="E11" s="111" t="s">
        <v>1094</v>
      </c>
      <c r="F11" s="111"/>
    </row>
    <row r="12" spans="1:6">
      <c r="A12" s="111" t="s">
        <v>2694</v>
      </c>
      <c r="B12" s="111"/>
      <c r="C12" s="111"/>
      <c r="D12" s="112" t="s">
        <v>1135</v>
      </c>
      <c r="E12" s="120" t="s">
        <v>4709</v>
      </c>
      <c r="F12" s="111"/>
    </row>
    <row r="13" spans="1:6">
      <c r="A13" s="111" t="s">
        <v>2695</v>
      </c>
      <c r="B13" s="111"/>
      <c r="C13" s="111"/>
      <c r="D13" s="111"/>
      <c r="E13" s="111"/>
      <c r="F13" s="111"/>
    </row>
    <row r="14" spans="1:6">
      <c r="A14" s="111" t="s">
        <v>2696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6" t="s">
        <v>4706</v>
      </c>
      <c r="B18" s="116" t="s">
        <v>4710</v>
      </c>
      <c r="C18" s="120" t="s">
        <v>2697</v>
      </c>
      <c r="D18" s="111"/>
      <c r="E18" s="111"/>
      <c r="F18" s="111">
        <v>98</v>
      </c>
    </row>
    <row r="19" spans="1:7">
      <c r="A19" s="116"/>
      <c r="B19" s="116"/>
      <c r="C19" s="120" t="s">
        <v>2698</v>
      </c>
      <c r="D19" s="111"/>
      <c r="E19" s="111"/>
      <c r="G19" s="111"/>
    </row>
    <row r="20" spans="1:7">
      <c r="A20" s="116"/>
      <c r="B20" s="120"/>
      <c r="C20" s="111" t="s">
        <v>4711</v>
      </c>
      <c r="G20" s="111"/>
    </row>
    <row r="21" spans="1:7">
      <c r="A21" s="116"/>
      <c r="B21" s="116"/>
      <c r="D21" s="111"/>
      <c r="E21" s="111"/>
      <c r="F21" s="111"/>
      <c r="G21" s="111"/>
    </row>
    <row r="22" spans="1:7">
      <c r="C22" s="111" t="s">
        <v>3291</v>
      </c>
      <c r="F22" s="111">
        <f>F18*6%</f>
        <v>5.88</v>
      </c>
      <c r="G22" s="111"/>
    </row>
    <row r="23" spans="1:7">
      <c r="G23" s="111"/>
    </row>
    <row r="24" spans="1:7">
      <c r="A24" s="116" t="s">
        <v>4706</v>
      </c>
      <c r="B24" s="116" t="s">
        <v>4712</v>
      </c>
      <c r="C24" s="120" t="s">
        <v>2697</v>
      </c>
      <c r="D24" s="111"/>
      <c r="E24" s="111"/>
      <c r="F24" s="111">
        <v>98</v>
      </c>
      <c r="G24" s="111"/>
    </row>
    <row r="25" spans="1:7">
      <c r="A25" s="116"/>
      <c r="B25" s="116"/>
      <c r="C25" s="120" t="s">
        <v>2699</v>
      </c>
      <c r="D25" s="111"/>
      <c r="E25" s="111"/>
      <c r="G25" s="111"/>
    </row>
    <row r="26" spans="1:7">
      <c r="A26" s="116"/>
      <c r="B26" s="120"/>
      <c r="C26" s="111" t="s">
        <v>4711</v>
      </c>
      <c r="G26" s="111"/>
    </row>
    <row r="27" spans="1:7">
      <c r="A27" s="116"/>
      <c r="B27" s="120"/>
      <c r="C27" s="111"/>
      <c r="D27" s="111"/>
      <c r="E27" s="111"/>
      <c r="F27" s="111"/>
      <c r="G27" s="111"/>
    </row>
    <row r="28" spans="1:7">
      <c r="C28" s="111" t="s">
        <v>1814</v>
      </c>
      <c r="F28" s="111">
        <f>F24*6%</f>
        <v>5.88</v>
      </c>
      <c r="G28" s="111"/>
    </row>
    <row r="29" spans="1:7">
      <c r="G29" s="111"/>
    </row>
    <row r="30" spans="1:7">
      <c r="A30" s="116"/>
      <c r="B30" s="120"/>
      <c r="C30" s="111" t="s">
        <v>3276</v>
      </c>
      <c r="D30" s="111"/>
      <c r="E30" s="111"/>
      <c r="F30" s="111">
        <v>0.04</v>
      </c>
      <c r="G30" s="111"/>
    </row>
    <row r="31" spans="1:7">
      <c r="C31" s="111"/>
      <c r="F31" s="111"/>
      <c r="G31" s="111"/>
    </row>
    <row r="32" spans="1:7">
      <c r="A32" s="111"/>
      <c r="B32" s="111"/>
      <c r="C32" s="111"/>
      <c r="D32" s="111"/>
      <c r="E32" s="111"/>
      <c r="G32" s="111"/>
    </row>
    <row r="33" spans="1:7" ht="13.5" thickBot="1">
      <c r="A33" s="111"/>
      <c r="B33" s="111"/>
      <c r="C33" s="111"/>
      <c r="D33" s="111"/>
      <c r="E33" s="111"/>
      <c r="F33" s="117">
        <f>SUM(F18:F32)</f>
        <v>207.79999999999998</v>
      </c>
      <c r="G33" s="111"/>
    </row>
    <row r="34" spans="1:7" ht="13.5" thickTop="1">
      <c r="A34" s="111"/>
      <c r="B34" s="111"/>
      <c r="C34" s="111"/>
      <c r="D34" s="111"/>
      <c r="E34" s="111"/>
      <c r="F34" s="111"/>
      <c r="G34" s="111"/>
    </row>
    <row r="35" spans="1:7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Two Hundred Seven and 80/100 -----------</v>
      </c>
      <c r="C35" s="119"/>
      <c r="D35" s="119"/>
      <c r="E35" s="119"/>
      <c r="F35" s="119"/>
      <c r="G35" s="111"/>
    </row>
    <row r="36" spans="1:7">
      <c r="A36" s="120" t="s">
        <v>11</v>
      </c>
      <c r="B36" s="111"/>
      <c r="C36" s="111"/>
      <c r="D36" s="111"/>
      <c r="E36" s="111"/>
      <c r="F36" s="111"/>
    </row>
    <row r="37" spans="1:7" ht="25.5">
      <c r="A37" s="111" t="s">
        <v>10</v>
      </c>
      <c r="B37" s="111"/>
      <c r="C37" s="111"/>
      <c r="D37" s="265" t="s">
        <v>2894</v>
      </c>
      <c r="E37" s="266"/>
      <c r="F37" s="267"/>
    </row>
    <row r="38" spans="1:7">
      <c r="A38" s="111"/>
      <c r="B38" s="111"/>
      <c r="C38" s="111"/>
      <c r="D38" s="111"/>
      <c r="E38" s="111"/>
      <c r="F38" s="111"/>
    </row>
    <row r="39" spans="1:7">
      <c r="A39" s="126"/>
      <c r="B39" s="111"/>
      <c r="C39" s="111"/>
    </row>
    <row r="40" spans="1:7">
      <c r="A40" s="111"/>
      <c r="B40" s="111"/>
      <c r="C40" s="121"/>
      <c r="D40" s="111"/>
      <c r="E40" s="111"/>
      <c r="F40" s="111"/>
    </row>
    <row r="41" spans="1:7">
      <c r="A41" s="122"/>
      <c r="B41" s="122"/>
      <c r="C41" s="111"/>
      <c r="D41" s="111"/>
      <c r="E41" s="111"/>
      <c r="F41" s="111"/>
    </row>
    <row r="42" spans="1:7">
      <c r="B42" s="111"/>
      <c r="C42" s="111"/>
      <c r="D42" s="111"/>
      <c r="E42" s="111"/>
      <c r="F42" s="111"/>
    </row>
    <row r="43" spans="1:7">
      <c r="A43" s="123" t="s">
        <v>8</v>
      </c>
      <c r="C43" s="111"/>
      <c r="D43" s="123" t="s">
        <v>7</v>
      </c>
      <c r="E43" s="111"/>
      <c r="F43" s="124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11"/>
      <c r="D45" s="111"/>
      <c r="E45" s="111"/>
      <c r="F45" s="111"/>
    </row>
    <row r="46" spans="1:7">
      <c r="A46" s="111"/>
      <c r="B46" s="111"/>
      <c r="C46" s="111"/>
      <c r="D46" s="111"/>
      <c r="E46" s="111"/>
      <c r="F46" s="111"/>
    </row>
    <row r="47" spans="1:7">
      <c r="A47" s="122"/>
      <c r="B47" s="122"/>
      <c r="C47" s="111"/>
      <c r="D47" s="122"/>
      <c r="E47" s="122"/>
      <c r="F47" s="122"/>
    </row>
    <row r="48" spans="1:7" s="3" customFormat="1" ht="17.100000000000001" customHeight="1">
      <c r="A48" s="151" t="s">
        <v>2948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/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1-000000000000}">
  <sheetPr codeName="Sheet312">
    <pageSetUpPr fitToPage="1"/>
  </sheetPr>
  <dimension ref="A1:G54"/>
  <sheetViews>
    <sheetView topLeftCell="A1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2991</v>
      </c>
      <c r="F9" s="111"/>
    </row>
    <row r="10" spans="1:6">
      <c r="A10" s="111" t="s">
        <v>2692</v>
      </c>
      <c r="B10" s="111"/>
      <c r="C10" s="111"/>
      <c r="D10" s="112" t="s">
        <v>1162</v>
      </c>
      <c r="E10" s="123" t="s">
        <v>2949</v>
      </c>
      <c r="F10" s="111"/>
    </row>
    <row r="11" spans="1:6">
      <c r="A11" s="111" t="s">
        <v>2693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2694</v>
      </c>
      <c r="B12" s="111"/>
      <c r="C12" s="111"/>
      <c r="D12" s="112" t="s">
        <v>1135</v>
      </c>
      <c r="E12" s="120" t="s">
        <v>2990</v>
      </c>
      <c r="F12" s="111"/>
    </row>
    <row r="13" spans="1:6">
      <c r="A13" s="111" t="s">
        <v>2695</v>
      </c>
      <c r="B13" s="111"/>
      <c r="C13" s="111"/>
      <c r="D13" s="111"/>
      <c r="E13" s="131"/>
      <c r="F13" s="111"/>
    </row>
    <row r="14" spans="1:6">
      <c r="A14" s="111" t="s">
        <v>2696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9" spans="1:7">
      <c r="A19" s="116" t="s">
        <v>2988</v>
      </c>
      <c r="B19" s="116" t="s">
        <v>2992</v>
      </c>
      <c r="C19" s="120" t="s">
        <v>2697</v>
      </c>
      <c r="D19" s="111"/>
      <c r="E19" s="111"/>
      <c r="G19" s="111"/>
    </row>
    <row r="20" spans="1:7">
      <c r="A20" s="116"/>
      <c r="B20" s="116"/>
      <c r="C20" s="120" t="s">
        <v>2699</v>
      </c>
      <c r="D20" s="111"/>
      <c r="E20" s="111"/>
      <c r="F20" s="111">
        <v>98</v>
      </c>
      <c r="G20" s="111"/>
    </row>
    <row r="21" spans="1:7">
      <c r="A21" s="116"/>
      <c r="B21" s="120"/>
      <c r="C21" s="111" t="s">
        <v>2989</v>
      </c>
      <c r="G21" s="111"/>
    </row>
    <row r="22" spans="1:7">
      <c r="A22" s="116"/>
      <c r="B22" s="120"/>
      <c r="C22" s="111"/>
      <c r="D22" s="111"/>
      <c r="E22" s="111"/>
      <c r="F22" s="111"/>
      <c r="G22" s="111"/>
    </row>
    <row r="23" spans="1:7">
      <c r="G23" s="111"/>
    </row>
    <row r="24" spans="1:7">
      <c r="G24" s="111"/>
    </row>
    <row r="25" spans="1:7">
      <c r="G25" s="111"/>
    </row>
    <row r="26" spans="1:7">
      <c r="G26" s="111"/>
    </row>
    <row r="27" spans="1:7">
      <c r="G27" s="111"/>
    </row>
    <row r="28" spans="1:7">
      <c r="A28" s="116"/>
      <c r="B28" s="120"/>
      <c r="C28" s="111"/>
      <c r="D28" s="111"/>
      <c r="E28" s="111"/>
      <c r="F28" s="111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1"/>
      <c r="B32" s="111"/>
      <c r="C32" s="111"/>
      <c r="D32" s="111"/>
      <c r="E32" s="111"/>
      <c r="G32" s="111"/>
    </row>
    <row r="33" spans="1:7" ht="13.5" thickBot="1">
      <c r="A33" s="111"/>
      <c r="B33" s="111"/>
      <c r="C33" s="111"/>
      <c r="D33" s="111"/>
      <c r="E33" s="111"/>
      <c r="F33" s="117">
        <f>SUM(F19:F32)</f>
        <v>98</v>
      </c>
      <c r="G33" s="111"/>
    </row>
    <row r="34" spans="1:7" ht="13.5" thickTop="1">
      <c r="A34" s="111"/>
      <c r="B34" s="111"/>
      <c r="C34" s="111"/>
      <c r="D34" s="111"/>
      <c r="E34" s="111"/>
      <c r="F34" s="111"/>
      <c r="G34" s="111"/>
    </row>
    <row r="35" spans="1:7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Ninety-Eight and NO/100 -----------</v>
      </c>
      <c r="C35" s="119"/>
      <c r="D35" s="119"/>
      <c r="E35" s="119"/>
      <c r="F35" s="119"/>
      <c r="G35" s="111"/>
    </row>
    <row r="36" spans="1:7">
      <c r="A36" s="120" t="s">
        <v>11</v>
      </c>
      <c r="B36" s="111"/>
      <c r="C36" s="111"/>
      <c r="D36" s="111"/>
      <c r="E36" s="111"/>
      <c r="F36" s="111"/>
    </row>
    <row r="37" spans="1:7" ht="25.5">
      <c r="A37" s="111" t="s">
        <v>10</v>
      </c>
      <c r="B37" s="111"/>
      <c r="C37" s="111"/>
      <c r="D37" s="265" t="s">
        <v>2894</v>
      </c>
      <c r="E37" s="266"/>
      <c r="F37" s="267"/>
    </row>
    <row r="38" spans="1:7">
      <c r="A38" s="111"/>
      <c r="B38" s="111"/>
      <c r="C38" s="111"/>
      <c r="D38" s="111"/>
      <c r="E38" s="111"/>
      <c r="F38" s="111"/>
    </row>
    <row r="39" spans="1:7">
      <c r="A39" s="126"/>
      <c r="B39" s="111"/>
      <c r="C39" s="111"/>
    </row>
    <row r="40" spans="1:7">
      <c r="A40" s="111"/>
      <c r="B40" s="111"/>
      <c r="C40" s="121"/>
      <c r="D40" s="111"/>
      <c r="E40" s="111"/>
      <c r="F40" s="111"/>
    </row>
    <row r="41" spans="1:7">
      <c r="A41" s="122"/>
      <c r="B41" s="122"/>
      <c r="C41" s="111"/>
      <c r="D41" s="111"/>
      <c r="E41" s="111"/>
      <c r="F41" s="111"/>
    </row>
    <row r="42" spans="1:7">
      <c r="B42" s="111"/>
      <c r="C42" s="111"/>
      <c r="D42" s="111"/>
      <c r="E42" s="111"/>
      <c r="F42" s="111"/>
    </row>
    <row r="43" spans="1:7">
      <c r="A43" s="123" t="s">
        <v>8</v>
      </c>
      <c r="C43" s="111"/>
      <c r="D43" s="123" t="s">
        <v>7</v>
      </c>
      <c r="E43" s="111"/>
      <c r="F43" s="124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11"/>
      <c r="D45" s="111"/>
      <c r="E45" s="111"/>
      <c r="F45" s="111"/>
    </row>
    <row r="46" spans="1:7">
      <c r="A46" s="111"/>
      <c r="B46" s="111"/>
      <c r="C46" s="111"/>
      <c r="D46" s="111"/>
      <c r="E46" s="111"/>
      <c r="F46" s="111"/>
    </row>
    <row r="47" spans="1:7">
      <c r="A47" s="122"/>
      <c r="B47" s="122"/>
      <c r="C47" s="111"/>
      <c r="D47" s="122"/>
      <c r="E47" s="122"/>
      <c r="F47" s="122"/>
    </row>
    <row r="48" spans="1:7" s="3" customFormat="1" ht="17.100000000000001" customHeight="1">
      <c r="A48" s="111" t="s">
        <v>2948</v>
      </c>
      <c r="B48" s="125"/>
      <c r="C48" s="126"/>
      <c r="D48" s="126" t="s">
        <v>3</v>
      </c>
      <c r="E48" s="126"/>
      <c r="F48" s="126"/>
    </row>
    <row r="49" spans="1:6">
      <c r="A49" s="111"/>
      <c r="B49" s="111"/>
      <c r="C49" s="111"/>
      <c r="D49" s="111" t="s">
        <v>2</v>
      </c>
      <c r="E49" s="111"/>
      <c r="F49" s="111"/>
    </row>
    <row r="50" spans="1:6">
      <c r="A50" s="151"/>
      <c r="B50" s="111"/>
      <c r="C50" s="111"/>
      <c r="D50" s="111"/>
      <c r="E50" s="111"/>
      <c r="F50" s="111"/>
    </row>
    <row r="51" spans="1:6">
      <c r="A51" s="111"/>
      <c r="B51" s="111"/>
      <c r="C51" s="111"/>
      <c r="D51" s="2" t="s">
        <v>1</v>
      </c>
      <c r="E51" s="111"/>
      <c r="F51" s="111"/>
    </row>
    <row r="52" spans="1:6">
      <c r="A52" s="111"/>
      <c r="B52" s="111"/>
      <c r="C52" s="111"/>
      <c r="D52" s="2" t="s">
        <v>0</v>
      </c>
      <c r="E52" s="111"/>
      <c r="F52" s="111"/>
    </row>
    <row r="53" spans="1:6">
      <c r="A53" s="111"/>
      <c r="B53" s="111"/>
      <c r="C53" s="111"/>
      <c r="D53" s="111"/>
      <c r="E53" s="111"/>
      <c r="F53" s="111"/>
    </row>
    <row r="54" spans="1:6">
      <c r="A54" s="111"/>
      <c r="B54" s="111"/>
      <c r="C54" s="111"/>
      <c r="D54" s="111"/>
      <c r="E54" s="111"/>
      <c r="F54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1-000000000000}">
  <sheetPr codeName="Sheet313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2709</v>
      </c>
    </row>
    <row r="10" spans="1:6">
      <c r="A10" s="111" t="s">
        <v>2510</v>
      </c>
      <c r="D10" s="112" t="s">
        <v>1180</v>
      </c>
      <c r="E10" s="112" t="s">
        <v>2708</v>
      </c>
    </row>
    <row r="11" spans="1:6">
      <c r="A11" s="111" t="s">
        <v>2511</v>
      </c>
      <c r="D11" s="112" t="s">
        <v>1181</v>
      </c>
      <c r="E11" s="112" t="s">
        <v>1094</v>
      </c>
    </row>
    <row r="12" spans="1:6">
      <c r="A12" s="111" t="s">
        <v>2512</v>
      </c>
      <c r="D12" s="112" t="s">
        <v>1182</v>
      </c>
      <c r="E12" s="112" t="s">
        <v>2710</v>
      </c>
    </row>
    <row r="13" spans="1:6">
      <c r="A13" s="111" t="s">
        <v>1535</v>
      </c>
    </row>
    <row r="14" spans="1:6">
      <c r="A14" s="111" t="s">
        <v>2513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A18" s="116"/>
      <c r="B18" s="116"/>
      <c r="C18" s="2" t="s">
        <v>2711</v>
      </c>
    </row>
    <row r="20" spans="1:6">
      <c r="A20" s="116" t="s">
        <v>2707</v>
      </c>
      <c r="B20" s="116" t="s">
        <v>2712</v>
      </c>
      <c r="C20" s="111" t="s">
        <v>2713</v>
      </c>
      <c r="F20" s="111">
        <v>450</v>
      </c>
    </row>
    <row r="21" spans="1:6">
      <c r="C21" s="120" t="s">
        <v>2580</v>
      </c>
    </row>
    <row r="22" spans="1:6">
      <c r="C22" s="2"/>
    </row>
    <row r="23" spans="1:6">
      <c r="A23" s="148"/>
      <c r="C23" s="120"/>
    </row>
    <row r="24" spans="1:6">
      <c r="A24" s="116"/>
      <c r="B24" s="251"/>
      <c r="F24" s="149"/>
    </row>
    <row r="27" spans="1:6">
      <c r="A27" s="120"/>
    </row>
    <row r="28" spans="1:6">
      <c r="C28" s="2"/>
      <c r="F28" s="149"/>
    </row>
    <row r="29" spans="1:6">
      <c r="A29" s="148"/>
      <c r="B29" s="121"/>
      <c r="C29" s="120"/>
    </row>
    <row r="33" spans="1:6" ht="13.5" thickBot="1">
      <c r="F33" s="127">
        <f>SUM(F20:F32)</f>
        <v>450</v>
      </c>
    </row>
    <row r="34" spans="1:6" ht="13.5" thickTop="1"/>
    <row r="35" spans="1:6" ht="20.100000000000001" customHeight="1">
      <c r="A35" s="118" t="s">
        <v>204</v>
      </c>
      <c r="B35" s="202" t="s">
        <v>2581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301-000000000000}">
  <sheetPr codeName="Sheet251">
    <pageSetUpPr fitToPage="1"/>
  </sheetPr>
  <dimension ref="A1:H54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42578125" style="111" customWidth="1"/>
    <col min="4" max="4" width="22.42578125" style="111" customWidth="1"/>
    <col min="5" max="5" width="1.14062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1134</v>
      </c>
      <c r="G9" s="132" t="s">
        <v>6199</v>
      </c>
    </row>
    <row r="10" spans="1:8">
      <c r="A10" s="111" t="s">
        <v>2102</v>
      </c>
      <c r="F10" s="112" t="s">
        <v>1685</v>
      </c>
      <c r="G10" s="132" t="s">
        <v>6185</v>
      </c>
    </row>
    <row r="11" spans="1:8">
      <c r="A11" s="111" t="s">
        <v>2103</v>
      </c>
      <c r="F11" s="112" t="s">
        <v>1187</v>
      </c>
      <c r="G11" s="132" t="s">
        <v>1094</v>
      </c>
    </row>
    <row r="12" spans="1:8">
      <c r="F12" s="112" t="s">
        <v>2101</v>
      </c>
      <c r="G12" s="111" t="s">
        <v>6200</v>
      </c>
    </row>
    <row r="13" spans="1:8">
      <c r="G13" s="111" t="s">
        <v>5914</v>
      </c>
    </row>
    <row r="16" spans="1:8" s="15" customFormat="1" ht="20.100000000000001" customHeight="1">
      <c r="A16" s="18" t="s">
        <v>1193</v>
      </c>
      <c r="B16" s="129" t="s">
        <v>1098</v>
      </c>
      <c r="C16" s="462"/>
      <c r="D16" s="19" t="s">
        <v>14</v>
      </c>
      <c r="E16" s="19"/>
      <c r="F16" s="18"/>
      <c r="G16" s="129"/>
      <c r="H16" s="16" t="s">
        <v>13</v>
      </c>
    </row>
    <row r="18" spans="1:8">
      <c r="D18" s="2" t="s">
        <v>3421</v>
      </c>
      <c r="E18" s="2"/>
    </row>
    <row r="19" spans="1:8">
      <c r="A19" s="116"/>
      <c r="B19" s="116"/>
      <c r="C19" s="116"/>
    </row>
    <row r="20" spans="1:8">
      <c r="A20" s="116" t="s">
        <v>6197</v>
      </c>
      <c r="B20" s="116" t="s">
        <v>6201</v>
      </c>
      <c r="C20" s="116"/>
      <c r="D20" s="111" t="s">
        <v>6198</v>
      </c>
      <c r="H20" s="111">
        <v>90</v>
      </c>
    </row>
    <row r="22" spans="1:8">
      <c r="A22" s="116"/>
      <c r="B22" s="116"/>
      <c r="C22" s="116"/>
    </row>
    <row r="24" spans="1:8">
      <c r="A24" s="148"/>
      <c r="B24" s="157"/>
      <c r="C24" s="157"/>
      <c r="H24" s="149"/>
    </row>
    <row r="25" spans="1:8">
      <c r="A25" s="148"/>
      <c r="B25" s="157"/>
      <c r="C25" s="157"/>
      <c r="H25" s="149"/>
    </row>
    <row r="26" spans="1:8">
      <c r="A26" s="148"/>
      <c r="B26" s="157"/>
      <c r="C26" s="157"/>
      <c r="H26" s="149"/>
    </row>
    <row r="27" spans="1:8">
      <c r="D27" s="2"/>
      <c r="E27" s="2"/>
    </row>
    <row r="29" spans="1:8">
      <c r="A29" s="115"/>
      <c r="B29" s="121"/>
      <c r="C29" s="121"/>
      <c r="H29" s="149"/>
    </row>
    <row r="31" spans="1:8">
      <c r="A31" s="115"/>
      <c r="B31" s="121"/>
      <c r="C31" s="121"/>
      <c r="H31" s="149"/>
    </row>
    <row r="35" spans="1:8" ht="13.5" thickBot="1">
      <c r="H35" s="127">
        <f>SUM(H20:H34)</f>
        <v>90</v>
      </c>
    </row>
    <row r="36" spans="1:8" ht="13.5" thickTop="1"/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Ninety and NO/100 -----------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>
      <c r="A39" s="111" t="s">
        <v>10</v>
      </c>
    </row>
    <row r="41" spans="1:8" ht="25.5">
      <c r="A41" s="126"/>
      <c r="F41" s="265" t="s">
        <v>2894</v>
      </c>
      <c r="G41" s="266"/>
      <c r="H41" s="267"/>
    </row>
    <row r="42" spans="1:8">
      <c r="A42" s="111" t="s">
        <v>52</v>
      </c>
      <c r="D42" s="121"/>
      <c r="E42" s="121"/>
    </row>
    <row r="43" spans="1:8">
      <c r="A43" s="122"/>
      <c r="B43" s="122"/>
      <c r="C43" s="433"/>
    </row>
    <row r="45" spans="1:8">
      <c r="A45" s="123" t="s">
        <v>8</v>
      </c>
      <c r="D45" s="123" t="s">
        <v>8</v>
      </c>
      <c r="F45" s="123" t="s">
        <v>7</v>
      </c>
      <c r="H45" s="121"/>
    </row>
    <row r="49" spans="1:8">
      <c r="A49" s="122" t="s">
        <v>51</v>
      </c>
      <c r="B49" s="122"/>
      <c r="C49" s="433"/>
      <c r="D49" s="122" t="s">
        <v>51</v>
      </c>
      <c r="F49" s="122"/>
      <c r="G49" s="122"/>
      <c r="H49" s="122"/>
    </row>
    <row r="50" spans="1:8" s="126" customFormat="1" ht="17.100000000000001" customHeight="1">
      <c r="A50" s="151" t="s">
        <v>2948</v>
      </c>
      <c r="B50" s="125"/>
      <c r="C50" s="125"/>
      <c r="D50" s="151" t="s">
        <v>103</v>
      </c>
      <c r="F50" s="126" t="s">
        <v>3</v>
      </c>
    </row>
    <row r="51" spans="1:8">
      <c r="F51" s="111" t="s">
        <v>2</v>
      </c>
    </row>
    <row r="52" spans="1:8">
      <c r="A52" s="151"/>
    </row>
    <row r="53" spans="1:8">
      <c r="F53" s="2" t="s">
        <v>1</v>
      </c>
    </row>
    <row r="54" spans="1:8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6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401-000000000000}">
  <sheetPr codeName="Sheet314"/>
  <dimension ref="A1:Q58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.140625" style="1" customWidth="1"/>
    <col min="4" max="4" width="23" style="1" customWidth="1"/>
    <col min="5" max="5" width="1" style="1" customWidth="1"/>
    <col min="6" max="6" width="13.85546875" style="1" customWidth="1"/>
    <col min="7" max="7" width="9" style="1" customWidth="1"/>
    <col min="8" max="8" width="12.85546875" style="1" customWidth="1"/>
    <col min="9" max="9" width="9.140625" style="1"/>
    <col min="10" max="10" width="21.85546875" style="1" bestFit="1" customWidth="1"/>
    <col min="11" max="11" width="9.42578125" style="1" bestFit="1" customWidth="1"/>
    <col min="12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5">
      <c r="A9" s="111"/>
      <c r="B9" s="111"/>
      <c r="C9" s="111"/>
      <c r="D9" s="111"/>
      <c r="E9" s="111"/>
      <c r="F9" s="112" t="s">
        <v>1127</v>
      </c>
      <c r="G9" s="483" t="s">
        <v>6458</v>
      </c>
      <c r="H9" s="111"/>
      <c r="J9" s="36"/>
      <c r="K9" s="36"/>
    </row>
    <row r="10" spans="1:15">
      <c r="A10" s="111" t="s">
        <v>2417</v>
      </c>
      <c r="B10" s="111"/>
      <c r="C10" s="111"/>
      <c r="D10" s="111"/>
      <c r="E10" s="111"/>
      <c r="F10" s="112" t="s">
        <v>1162</v>
      </c>
      <c r="G10" s="489" t="s">
        <v>6442</v>
      </c>
      <c r="H10" s="111"/>
    </row>
    <row r="11" spans="1:15">
      <c r="A11" s="111" t="s">
        <v>2418</v>
      </c>
      <c r="B11" s="111"/>
      <c r="C11" s="111"/>
      <c r="D11" s="111"/>
      <c r="E11" s="111"/>
      <c r="F11" s="112" t="s">
        <v>1163</v>
      </c>
      <c r="G11" s="489" t="s">
        <v>1094</v>
      </c>
      <c r="H11" s="111"/>
    </row>
    <row r="12" spans="1:15">
      <c r="A12" s="111" t="s">
        <v>4391</v>
      </c>
      <c r="B12" s="111"/>
      <c r="C12" s="111"/>
      <c r="D12" s="111"/>
      <c r="E12" s="111"/>
      <c r="F12" s="112" t="s">
        <v>1135</v>
      </c>
      <c r="G12" s="483" t="s">
        <v>6459</v>
      </c>
      <c r="H12" s="111"/>
    </row>
    <row r="13" spans="1:15">
      <c r="A13" s="111"/>
      <c r="B13" s="111"/>
      <c r="C13" s="111"/>
      <c r="D13" s="111"/>
      <c r="E13" s="111"/>
      <c r="F13" s="111"/>
      <c r="G13" s="483" t="s">
        <v>6182</v>
      </c>
      <c r="H13" s="111"/>
    </row>
    <row r="14" spans="1:15">
      <c r="A14" s="111"/>
      <c r="B14" s="111"/>
      <c r="C14" s="111"/>
      <c r="D14" s="111"/>
      <c r="E14" s="111"/>
      <c r="F14" s="111"/>
      <c r="G14" s="111"/>
      <c r="H14" s="111"/>
    </row>
    <row r="15" spans="1:15">
      <c r="A15" s="111"/>
      <c r="B15" s="111"/>
      <c r="C15" s="111"/>
      <c r="D15" s="111"/>
      <c r="E15" s="111"/>
      <c r="F15" s="111"/>
      <c r="G15" s="111"/>
      <c r="H15" s="111"/>
    </row>
    <row r="16" spans="1:15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  <c r="L16" s="2" t="s">
        <v>3650</v>
      </c>
      <c r="M16" s="111"/>
      <c r="N16" s="111"/>
      <c r="O16" s="111"/>
    </row>
    <row r="17" spans="1:17">
      <c r="A17" s="111"/>
      <c r="B17" s="111"/>
      <c r="C17" s="111"/>
      <c r="D17" s="111"/>
      <c r="E17" s="111"/>
      <c r="F17" s="111"/>
      <c r="G17" s="111"/>
      <c r="H17" s="111"/>
      <c r="L17" s="111"/>
      <c r="M17" s="111"/>
      <c r="N17" s="111"/>
      <c r="O17" s="111"/>
    </row>
    <row r="18" spans="1:17">
      <c r="A18" s="111"/>
      <c r="B18" s="111"/>
      <c r="C18" s="111"/>
      <c r="D18" s="482" t="s">
        <v>3650</v>
      </c>
      <c r="E18" s="2"/>
      <c r="F18" s="111"/>
      <c r="G18" s="111"/>
      <c r="H18" s="111"/>
      <c r="L18" s="111" t="s">
        <v>4770</v>
      </c>
      <c r="M18" s="111"/>
      <c r="N18" s="111"/>
      <c r="O18" s="111">
        <v>120</v>
      </c>
    </row>
    <row r="19" spans="1:17">
      <c r="A19" s="111"/>
      <c r="B19" s="111"/>
      <c r="C19" s="111"/>
      <c r="D19" s="111"/>
      <c r="E19" s="111"/>
      <c r="F19" s="111"/>
      <c r="G19" s="111"/>
      <c r="H19" s="111"/>
      <c r="L19" s="111" t="s">
        <v>4756</v>
      </c>
      <c r="M19" s="111"/>
      <c r="N19" s="111"/>
      <c r="O19" s="111">
        <v>120</v>
      </c>
    </row>
    <row r="20" spans="1:17">
      <c r="A20" s="492" t="s">
        <v>6460</v>
      </c>
      <c r="B20" s="116"/>
      <c r="C20" s="116"/>
      <c r="D20" s="483" t="s">
        <v>6461</v>
      </c>
      <c r="E20" s="111"/>
      <c r="F20" s="111"/>
      <c r="G20" s="111"/>
      <c r="H20" s="111">
        <v>120</v>
      </c>
      <c r="L20" s="111" t="s">
        <v>4757</v>
      </c>
      <c r="M20" s="111"/>
      <c r="N20" s="111"/>
      <c r="O20" s="111">
        <v>120</v>
      </c>
    </row>
    <row r="21" spans="1:17">
      <c r="A21" s="132"/>
      <c r="B21" s="116"/>
      <c r="C21" s="116"/>
      <c r="D21" s="483" t="s">
        <v>6462</v>
      </c>
      <c r="E21" s="111"/>
      <c r="F21" s="111"/>
      <c r="G21" s="111"/>
      <c r="H21" s="483">
        <v>120</v>
      </c>
      <c r="L21" s="111" t="s">
        <v>4758</v>
      </c>
      <c r="M21" s="111"/>
      <c r="N21" s="111"/>
      <c r="O21" s="111">
        <v>120</v>
      </c>
    </row>
    <row r="22" spans="1:17">
      <c r="A22" s="111"/>
      <c r="B22" s="111"/>
      <c r="C22" s="111"/>
      <c r="D22" s="2"/>
      <c r="E22" s="2"/>
      <c r="F22" s="111"/>
      <c r="G22" s="111"/>
      <c r="H22" s="111"/>
      <c r="L22" s="111" t="s">
        <v>4759</v>
      </c>
      <c r="M22" s="111"/>
      <c r="N22" s="111"/>
      <c r="O22" s="111">
        <v>120</v>
      </c>
    </row>
    <row r="23" spans="1:17">
      <c r="A23" s="111"/>
      <c r="B23" s="111"/>
      <c r="C23" s="111"/>
      <c r="D23" s="111"/>
      <c r="E23" s="111"/>
      <c r="F23" s="111"/>
      <c r="G23" s="111"/>
      <c r="H23" s="111"/>
      <c r="L23" s="111"/>
      <c r="M23" s="111"/>
      <c r="N23" s="111"/>
      <c r="O23" s="111"/>
    </row>
    <row r="24" spans="1:17">
      <c r="A24" s="158"/>
      <c r="B24" s="116"/>
      <c r="C24" s="116"/>
      <c r="D24" s="111"/>
      <c r="E24" s="111"/>
      <c r="F24" s="111"/>
      <c r="G24" s="111"/>
      <c r="H24" s="111"/>
      <c r="L24" s="111"/>
      <c r="M24" s="111"/>
      <c r="O24" s="111"/>
      <c r="P24" s="111"/>
      <c r="Q24" s="111"/>
    </row>
    <row r="25" spans="1:17">
      <c r="A25" s="132"/>
      <c r="B25" s="116"/>
      <c r="C25" s="116"/>
      <c r="D25" s="111"/>
      <c r="E25" s="111"/>
      <c r="F25" s="111"/>
      <c r="G25" s="111"/>
      <c r="H25" s="111"/>
      <c r="L25" s="111"/>
      <c r="M25" s="111"/>
      <c r="N25" s="111"/>
      <c r="O25" s="111"/>
      <c r="P25" s="111"/>
      <c r="Q25" s="111"/>
    </row>
    <row r="26" spans="1:17">
      <c r="A26" s="132"/>
      <c r="B26" s="116"/>
      <c r="C26" s="116"/>
      <c r="D26" s="111"/>
      <c r="E26" s="111"/>
      <c r="F26" s="111"/>
      <c r="G26" s="111"/>
      <c r="H26" s="111"/>
      <c r="L26" s="116"/>
      <c r="M26" s="116" t="s">
        <v>4771</v>
      </c>
      <c r="N26" s="111" t="s">
        <v>4753</v>
      </c>
      <c r="O26" s="111"/>
      <c r="P26" s="111"/>
      <c r="Q26" s="111">
        <v>90</v>
      </c>
    </row>
    <row r="27" spans="1:17">
      <c r="A27" s="116"/>
      <c r="B27" s="121"/>
      <c r="C27" s="121"/>
      <c r="D27" s="111"/>
      <c r="E27" s="111"/>
      <c r="F27" s="111"/>
      <c r="G27" s="111"/>
      <c r="H27" s="111"/>
      <c r="L27" s="116" t="s">
        <v>4768</v>
      </c>
      <c r="M27" s="116" t="s">
        <v>4769</v>
      </c>
      <c r="N27" s="111" t="s">
        <v>4767</v>
      </c>
      <c r="O27" s="111"/>
      <c r="P27" s="111"/>
      <c r="Q27" s="111">
        <v>90</v>
      </c>
    </row>
    <row r="28" spans="1:17">
      <c r="A28" s="116"/>
      <c r="B28" s="121"/>
      <c r="C28" s="121"/>
      <c r="D28" s="111"/>
      <c r="E28" s="111"/>
      <c r="F28" s="111"/>
      <c r="G28" s="111"/>
      <c r="H28" s="111"/>
      <c r="L28" s="116"/>
      <c r="M28" s="116"/>
      <c r="N28" s="111"/>
      <c r="O28" s="111"/>
      <c r="P28" s="111"/>
      <c r="Q28" s="111"/>
    </row>
    <row r="29" spans="1:17">
      <c r="A29" s="116"/>
      <c r="B29" s="121"/>
      <c r="C29" s="121"/>
      <c r="D29" s="111"/>
      <c r="E29" s="111"/>
      <c r="F29" s="111"/>
      <c r="G29" s="111"/>
      <c r="H29" s="111"/>
      <c r="L29" s="116"/>
      <c r="M29" s="116"/>
      <c r="N29" s="111"/>
      <c r="O29" s="111"/>
      <c r="P29" s="111"/>
      <c r="Q29" s="111"/>
    </row>
    <row r="30" spans="1:17">
      <c r="A30" s="116"/>
      <c r="B30" s="121"/>
      <c r="C30" s="121"/>
      <c r="D30" s="111"/>
      <c r="E30" s="111"/>
      <c r="F30" s="111"/>
      <c r="G30" s="111"/>
      <c r="H30" s="111"/>
      <c r="L30" s="116"/>
      <c r="M30" s="116"/>
      <c r="N30" s="111"/>
      <c r="O30" s="111"/>
      <c r="P30" s="111"/>
      <c r="Q30" s="111"/>
    </row>
    <row r="31" spans="1:17">
      <c r="L31" s="116"/>
      <c r="M31" s="116"/>
      <c r="N31" s="111"/>
      <c r="O31" s="111"/>
      <c r="P31" s="111"/>
      <c r="Q31" s="111"/>
    </row>
    <row r="32" spans="1:17">
      <c r="L32" s="116"/>
      <c r="M32" s="116"/>
      <c r="N32" s="111"/>
      <c r="O32" s="111"/>
      <c r="P32" s="111"/>
      <c r="Q32" s="111"/>
    </row>
    <row r="33" spans="1:17">
      <c r="A33" s="116"/>
      <c r="B33" s="121"/>
      <c r="C33" s="121"/>
      <c r="D33" s="111"/>
      <c r="E33" s="111"/>
      <c r="F33" s="111"/>
      <c r="G33" s="111"/>
      <c r="H33" s="111"/>
      <c r="L33" s="116"/>
      <c r="M33" s="116"/>
      <c r="N33" s="111"/>
      <c r="O33" s="111"/>
      <c r="P33" s="111"/>
      <c r="Q33" s="111"/>
    </row>
    <row r="34" spans="1:17">
      <c r="A34" s="116"/>
      <c r="B34" s="121"/>
      <c r="C34" s="121"/>
      <c r="D34" s="111"/>
      <c r="E34" s="111"/>
      <c r="F34" s="111"/>
      <c r="G34" s="111"/>
      <c r="H34" s="111"/>
      <c r="N34" s="111"/>
      <c r="O34" s="111"/>
      <c r="P34" s="111"/>
      <c r="Q34" s="111"/>
    </row>
    <row r="35" spans="1:17">
      <c r="A35" s="252"/>
      <c r="B35" s="120"/>
      <c r="C35" s="120"/>
      <c r="D35" s="111"/>
      <c r="E35" s="111"/>
      <c r="F35" s="111"/>
      <c r="G35" s="111"/>
      <c r="H35" s="111"/>
    </row>
    <row r="36" spans="1:17">
      <c r="A36" s="148"/>
      <c r="B36" s="111"/>
      <c r="C36" s="111"/>
      <c r="D36" s="111"/>
      <c r="E36" s="111"/>
      <c r="F36" s="111"/>
      <c r="G36" s="111"/>
    </row>
    <row r="37" spans="1:17" ht="13.5" thickBot="1">
      <c r="A37" s="111"/>
      <c r="B37" s="111"/>
      <c r="C37" s="111"/>
      <c r="D37" s="111"/>
      <c r="E37" s="111"/>
      <c r="F37" s="111"/>
      <c r="G37" s="111"/>
      <c r="H37" s="117">
        <f>SUM(H20:H36)</f>
        <v>240</v>
      </c>
    </row>
    <row r="38" spans="1:17" ht="13.5" thickTop="1">
      <c r="A38" s="111"/>
      <c r="B38" s="111"/>
      <c r="C38" s="111"/>
      <c r="D38" s="111"/>
      <c r="E38" s="111"/>
      <c r="F38" s="111"/>
      <c r="G38" s="111"/>
      <c r="H38" s="111"/>
    </row>
    <row r="39" spans="1:17" ht="20.100000000000001" customHeight="1">
      <c r="A39" s="118" t="s">
        <v>1133</v>
      </c>
      <c r="B39" s="202" t="str">
        <f>IF(OR(H37&gt;1000000,H37&lt;=0),"",IF(H37&lt;1000,"",IF(MOD(H37,1000000)&gt;=100000,INDEX(numbers,TRUNC(MOD(H37,1000000)/100000,0)+1)&amp;" Hundred","")&amp;IF(MOD(H37,100000)&gt;=20000," "&amp;INDEX(tens,TRUNC(MOD(H37,100000)/10000,0)+1)&amp;IF(MOD(MOD(H37,100000),10000)&gt;=1000,"-"&amp;INDEX(numbers,TRUNC(MOD(MOD(H37,100000),10000)/1000,0)+1),""),IF(MOD(H37,100000)&gt;=1000," "&amp;INDEX(numbers,TRUNC(MOD(H37,100000)/1000,0)+1),""))&amp;" Thousand") &amp; IF(H37&lt;1,"Zero Dollars",IF(MOD(H37,1000)&gt;=100," "&amp;INDEX(numbers,TRUNC(MOD(H37,1000)/100,0)+1)&amp;" Hundred","")&amp;IF(MOD(H37,100)&gt;=20," "&amp;INDEX(tens,TRUNC(MOD(H37,100)/10,0)+1)&amp;IF(MOD(MOD(H37,100),10)&gt;=1,"-"&amp;INDEX(numbers,TRUNC(MOD(MOD(H37,100),10),0)+1),""),IF(MOD(H37,100)&gt;=1," "&amp;INDEX(numbers,TRUNC(MOD(H37,100),0)+1),""))&amp;"") &amp; " and " &amp; IF(MOD(H37,1)&lt;0.005,"NO",ROUND(MOD(H37,1)*100,0)) &amp; "/100 -----------")</f>
        <v xml:space="preserve"> Two Hundred Forty and NO/100 -----------</v>
      </c>
      <c r="C39" s="202"/>
      <c r="D39" s="119"/>
      <c r="E39" s="119"/>
      <c r="F39" s="119"/>
      <c r="G39" s="119"/>
      <c r="H39" s="119"/>
    </row>
    <row r="40" spans="1:17">
      <c r="A40" s="120" t="s">
        <v>11</v>
      </c>
      <c r="B40" s="111"/>
      <c r="C40" s="111"/>
      <c r="D40" s="111"/>
      <c r="E40" s="111"/>
      <c r="F40" s="111"/>
      <c r="G40" s="111"/>
      <c r="H40" s="111"/>
    </row>
    <row r="41" spans="1:17" ht="25.5">
      <c r="A41" s="126" t="s">
        <v>10</v>
      </c>
      <c r="B41" s="111"/>
      <c r="C41" s="111"/>
      <c r="D41" s="111"/>
      <c r="E41" s="111"/>
      <c r="F41" s="265" t="s">
        <v>2894</v>
      </c>
      <c r="G41" s="266"/>
      <c r="H41" s="267"/>
    </row>
    <row r="42" spans="1:17">
      <c r="A42" s="111"/>
      <c r="B42" s="111"/>
      <c r="C42" s="111"/>
      <c r="D42" s="111"/>
      <c r="E42" s="111"/>
      <c r="F42" s="111"/>
      <c r="G42" s="111"/>
      <c r="H42" s="111"/>
    </row>
    <row r="43" spans="1:17">
      <c r="A43" s="111"/>
      <c r="B43" s="111"/>
      <c r="C43" s="111"/>
      <c r="D43" s="111"/>
      <c r="E43" s="111"/>
      <c r="F43" s="111"/>
      <c r="G43" s="111"/>
      <c r="H43" s="111"/>
    </row>
    <row r="44" spans="1:17">
      <c r="A44" s="111"/>
      <c r="B44" s="111"/>
      <c r="C44" s="111"/>
      <c r="D44" s="121"/>
      <c r="E44" s="121"/>
      <c r="F44" s="111"/>
      <c r="G44" s="111"/>
      <c r="H44" s="111"/>
    </row>
    <row r="45" spans="1:17">
      <c r="A45" s="122"/>
      <c r="B45" s="122"/>
      <c r="C45" s="433"/>
      <c r="D45" s="111"/>
      <c r="E45" s="111"/>
      <c r="F45" s="111"/>
      <c r="G45" s="111"/>
      <c r="H45" s="111"/>
    </row>
    <row r="46" spans="1:17">
      <c r="B46" s="111"/>
      <c r="C46" s="111"/>
      <c r="D46" s="111"/>
      <c r="E46" s="111"/>
      <c r="F46" s="111"/>
      <c r="G46" s="111"/>
      <c r="H46" s="111"/>
    </row>
    <row r="47" spans="1:17">
      <c r="A47" s="123" t="s">
        <v>8</v>
      </c>
      <c r="D47" s="123" t="s">
        <v>8</v>
      </c>
      <c r="E47" s="111"/>
      <c r="F47" s="123" t="s">
        <v>7</v>
      </c>
      <c r="G47" s="111"/>
      <c r="H47" s="124"/>
    </row>
    <row r="48" spans="1:17">
      <c r="A48" s="111"/>
      <c r="B48" s="111"/>
      <c r="C48" s="111"/>
      <c r="D48" s="111"/>
      <c r="E48" s="111"/>
      <c r="F48" s="111"/>
      <c r="G48" s="111"/>
    </row>
    <row r="49" spans="1:9">
      <c r="A49" s="111"/>
      <c r="B49" s="111"/>
      <c r="C49" s="111"/>
      <c r="D49" s="111"/>
      <c r="E49" s="111"/>
      <c r="F49" s="111"/>
      <c r="G49" s="111"/>
      <c r="H49" s="111"/>
      <c r="I49" s="111"/>
    </row>
    <row r="50" spans="1:9">
      <c r="A50" s="111"/>
      <c r="B50" s="111"/>
      <c r="C50" s="111"/>
      <c r="D50" s="111"/>
      <c r="E50" s="111"/>
      <c r="F50" s="111"/>
      <c r="G50" s="111"/>
      <c r="H50" s="111"/>
    </row>
    <row r="51" spans="1:9">
      <c r="A51" s="122"/>
      <c r="B51" s="122"/>
      <c r="C51" s="433"/>
      <c r="D51" s="122"/>
      <c r="E51" s="111"/>
      <c r="F51" s="122"/>
      <c r="G51" s="122"/>
      <c r="H51" s="122"/>
    </row>
    <row r="52" spans="1:9" s="3" customFormat="1" ht="17.100000000000001" customHeight="1">
      <c r="A52" s="151" t="s">
        <v>2948</v>
      </c>
      <c r="B52" s="125"/>
      <c r="C52" s="125"/>
      <c r="D52" s="151" t="s">
        <v>103</v>
      </c>
      <c r="E52" s="126"/>
      <c r="F52" s="126" t="s">
        <v>3</v>
      </c>
      <c r="G52" s="126"/>
      <c r="H52" s="126"/>
    </row>
    <row r="53" spans="1:9">
      <c r="A53" s="111"/>
      <c r="B53" s="111"/>
      <c r="C53" s="111"/>
      <c r="D53" s="111"/>
      <c r="E53" s="111"/>
      <c r="F53" s="111" t="s">
        <v>2</v>
      </c>
      <c r="G53" s="111"/>
      <c r="H53" s="111"/>
    </row>
    <row r="54" spans="1:9">
      <c r="A54" s="111"/>
      <c r="B54" s="111"/>
      <c r="C54" s="111"/>
      <c r="D54" s="111"/>
      <c r="E54" s="111"/>
      <c r="F54" s="111"/>
      <c r="G54" s="111"/>
      <c r="H54" s="111"/>
    </row>
    <row r="55" spans="1:9">
      <c r="A55" s="111"/>
      <c r="B55" s="111"/>
      <c r="C55" s="111"/>
      <c r="D55" s="111"/>
      <c r="E55" s="111"/>
      <c r="F55" s="2" t="s">
        <v>1</v>
      </c>
      <c r="G55" s="111"/>
      <c r="H55" s="111"/>
    </row>
    <row r="56" spans="1:9">
      <c r="A56" s="111"/>
      <c r="B56" s="111"/>
      <c r="C56" s="111"/>
      <c r="D56" s="111"/>
      <c r="E56" s="111"/>
      <c r="F56" s="2" t="s">
        <v>0</v>
      </c>
      <c r="G56" s="111"/>
      <c r="H56" s="111"/>
    </row>
    <row r="57" spans="1:9">
      <c r="A57" s="111"/>
      <c r="B57" s="111"/>
      <c r="C57" s="111"/>
      <c r="D57" s="111"/>
      <c r="E57" s="111"/>
      <c r="F57" s="111"/>
      <c r="G57" s="111"/>
      <c r="H57" s="111"/>
    </row>
    <row r="58" spans="1:9">
      <c r="A58" s="111"/>
      <c r="B58" s="111"/>
      <c r="C58" s="111"/>
      <c r="D58" s="111"/>
      <c r="E58" s="111"/>
      <c r="F58" s="111"/>
      <c r="G58" s="111"/>
      <c r="H58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6" orientation="portrait" r:id="rId1"/>
  <headerFooter alignWithMargins="0"/>
</worksheet>
</file>

<file path=xl/worksheets/sheet6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501-000000000000}">
  <sheetPr codeName="Sheet154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207" t="s">
        <v>26</v>
      </c>
      <c r="B1" s="207"/>
      <c r="C1" s="207"/>
      <c r="D1" s="207"/>
      <c r="E1" s="207"/>
      <c r="F1" s="207"/>
    </row>
    <row r="2" spans="1:6">
      <c r="A2" s="208" t="s">
        <v>25</v>
      </c>
      <c r="B2" s="208"/>
      <c r="C2" s="208"/>
      <c r="D2" s="208"/>
      <c r="E2" s="208"/>
      <c r="F2" s="208"/>
    </row>
    <row r="3" spans="1:6">
      <c r="A3" s="208" t="s">
        <v>1480</v>
      </c>
      <c r="B3" s="208"/>
      <c r="C3" s="208"/>
      <c r="D3" s="208"/>
      <c r="E3" s="208"/>
      <c r="F3" s="208"/>
    </row>
    <row r="4" spans="1:6">
      <c r="A4" s="208" t="s">
        <v>1481</v>
      </c>
      <c r="B4" s="208"/>
      <c r="C4" s="208"/>
      <c r="D4" s="208"/>
      <c r="E4" s="208"/>
      <c r="F4" s="208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1463</v>
      </c>
    </row>
    <row r="10" spans="1:6">
      <c r="A10" s="111" t="s">
        <v>1373</v>
      </c>
      <c r="D10" s="112" t="s">
        <v>1180</v>
      </c>
      <c r="E10" s="112" t="s">
        <v>1454</v>
      </c>
    </row>
    <row r="11" spans="1:6">
      <c r="A11" s="111" t="s">
        <v>1374</v>
      </c>
      <c r="D11" s="112" t="s">
        <v>1181</v>
      </c>
      <c r="E11" s="112" t="s">
        <v>1094</v>
      </c>
    </row>
    <row r="12" spans="1:6">
      <c r="A12" s="111" t="s">
        <v>1375</v>
      </c>
      <c r="D12" s="112" t="s">
        <v>1182</v>
      </c>
      <c r="E12" s="112" t="s">
        <v>1464</v>
      </c>
    </row>
    <row r="13" spans="1:6">
      <c r="A13" s="111" t="s">
        <v>1287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29"/>
      <c r="F16" s="16" t="s">
        <v>13</v>
      </c>
    </row>
    <row r="18" spans="1:6">
      <c r="C18" s="2"/>
    </row>
    <row r="19" spans="1:6">
      <c r="A19" s="116" t="s">
        <v>1460</v>
      </c>
      <c r="B19" s="116" t="s">
        <v>1465</v>
      </c>
      <c r="C19" s="111" t="s">
        <v>1377</v>
      </c>
      <c r="F19" s="111">
        <f>3.5*250</f>
        <v>875</v>
      </c>
    </row>
    <row r="20" spans="1:6">
      <c r="C20" s="111" t="s">
        <v>1378</v>
      </c>
    </row>
    <row r="22" spans="1:6">
      <c r="A22" s="116"/>
      <c r="B22" s="116"/>
    </row>
    <row r="24" spans="1:6">
      <c r="A24" s="148"/>
      <c r="B24" s="157"/>
      <c r="F24" s="149"/>
    </row>
    <row r="25" spans="1:6">
      <c r="C25" s="2"/>
    </row>
    <row r="27" spans="1:6">
      <c r="A27" s="115"/>
      <c r="B27" s="121"/>
      <c r="F27" s="149"/>
    </row>
    <row r="29" spans="1:6">
      <c r="A29" s="115"/>
      <c r="B29" s="121"/>
      <c r="F29" s="149"/>
    </row>
    <row r="33" spans="1:6" ht="13.5" thickBot="1">
      <c r="F33" s="127">
        <f>SUM(F20:F32)</f>
        <v>0</v>
      </c>
    </row>
    <row r="34" spans="1:6" ht="13.5" thickTop="1"/>
    <row r="35" spans="1:6" ht="20.100000000000001" customHeight="1">
      <c r="A35" s="118" t="s">
        <v>204</v>
      </c>
      <c r="B35" s="118" t="s">
        <v>1466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1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601-000000000000}">
  <sheetPr codeName="Sheet126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793</v>
      </c>
    </row>
    <row r="10" spans="1:6">
      <c r="A10" s="1" t="s">
        <v>792</v>
      </c>
      <c r="D10" s="21" t="s">
        <v>21</v>
      </c>
      <c r="E10" s="21" t="s">
        <v>791</v>
      </c>
    </row>
    <row r="11" spans="1:6">
      <c r="A11" s="1" t="s">
        <v>49</v>
      </c>
      <c r="D11" s="21" t="s">
        <v>19</v>
      </c>
      <c r="E11" s="21" t="s">
        <v>18</v>
      </c>
    </row>
    <row r="12" spans="1:6">
      <c r="D12" s="21" t="s">
        <v>17</v>
      </c>
      <c r="E12" s="20" t="s">
        <v>790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2:6">
      <c r="C19" s="13"/>
    </row>
    <row r="20" spans="2:6">
      <c r="C20" s="13"/>
    </row>
    <row r="22" spans="2:6">
      <c r="C22" s="13" t="s">
        <v>55</v>
      </c>
    </row>
    <row r="23" spans="2:6">
      <c r="C23" s="13"/>
    </row>
    <row r="24" spans="2:6">
      <c r="B24" s="8"/>
      <c r="C24" s="13" t="s">
        <v>789</v>
      </c>
      <c r="F24" s="1">
        <v>92.4</v>
      </c>
    </row>
    <row r="25" spans="2:6">
      <c r="B25" s="8"/>
    </row>
    <row r="26" spans="2:6">
      <c r="B26" s="8"/>
      <c r="C26" s="13"/>
    </row>
    <row r="27" spans="2:6">
      <c r="B27" s="8"/>
    </row>
    <row r="28" spans="2:6">
      <c r="B28" s="8"/>
    </row>
    <row r="29" spans="2:6">
      <c r="B29" s="8"/>
    </row>
    <row r="30" spans="2:6">
      <c r="B30" s="8"/>
    </row>
    <row r="31" spans="2:6">
      <c r="B31" s="8"/>
    </row>
    <row r="32" spans="2:6">
      <c r="B32" s="8"/>
    </row>
    <row r="33" spans="1:6" ht="13.5" thickBot="1">
      <c r="B33" s="8"/>
      <c r="F33" s="12">
        <f>SUM(F20:F32)</f>
        <v>92.4</v>
      </c>
    </row>
    <row r="34" spans="1:6" ht="14.25" thickTop="1" thickBot="1">
      <c r="F34" s="12">
        <f>SUM(F24:F33)</f>
        <v>184.8</v>
      </c>
    </row>
    <row r="35" spans="1:6" ht="13.5" thickTop="1"/>
    <row r="37" spans="1:6" ht="20.100000000000001" customHeight="1">
      <c r="A37" s="10" t="s">
        <v>788</v>
      </c>
      <c r="B37" s="10"/>
      <c r="C37" s="9"/>
      <c r="D37" s="9"/>
      <c r="E37" s="9"/>
      <c r="F37" s="9"/>
    </row>
    <row r="38" spans="1:6">
      <c r="A38" s="8"/>
    </row>
    <row r="39" spans="1:6" ht="25.5">
      <c r="A39" s="3" t="s">
        <v>10</v>
      </c>
      <c r="D39" s="265" t="s">
        <v>2894</v>
      </c>
      <c r="E39" s="266"/>
      <c r="F39" s="267"/>
    </row>
    <row r="42" spans="1:6">
      <c r="A42" s="1" t="s">
        <v>9</v>
      </c>
      <c r="C42" s="7"/>
    </row>
    <row r="45" spans="1:6">
      <c r="A45" s="6" t="s">
        <v>8</v>
      </c>
      <c r="D45" s="6" t="s">
        <v>7</v>
      </c>
      <c r="F45" s="5"/>
    </row>
    <row r="49" spans="1:4">
      <c r="A49" s="1" t="s">
        <v>6</v>
      </c>
      <c r="D49" s="1" t="s">
        <v>5</v>
      </c>
    </row>
    <row r="50" spans="1:4" s="3" customFormat="1" ht="17.100000000000001" customHeight="1">
      <c r="A50" s="273" t="s">
        <v>2948</v>
      </c>
      <c r="B50" s="4"/>
      <c r="D50" s="3" t="s">
        <v>3</v>
      </c>
    </row>
    <row r="51" spans="1:4">
      <c r="D51" s="1" t="s">
        <v>2</v>
      </c>
    </row>
    <row r="53" spans="1:4">
      <c r="D53" s="2" t="s">
        <v>1</v>
      </c>
    </row>
    <row r="54" spans="1:4">
      <c r="D54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701-000000000000}">
  <sheetPr codeName="Sheet155"/>
  <dimension ref="A1:O56"/>
  <sheetViews>
    <sheetView view="pageBreakPreview" zoomScale="115" zoomScaleNormal="100" zoomScaleSheetLayoutView="115" workbookViewId="0">
      <selection activeCell="G9" sqref="G9:G13"/>
    </sheetView>
  </sheetViews>
  <sheetFormatPr defaultRowHeight="12.75"/>
  <cols>
    <col min="1" max="1" width="16.140625" style="346" customWidth="1"/>
    <col min="2" max="2" width="12.5703125" style="346" customWidth="1"/>
    <col min="3" max="3" width="1.28515625" style="346" customWidth="1"/>
    <col min="4" max="4" width="21.85546875" style="346" customWidth="1"/>
    <col min="5" max="5" width="0.7109375" style="346" customWidth="1"/>
    <col min="6" max="6" width="12.7109375" style="346" customWidth="1"/>
    <col min="7" max="7" width="9" style="346" customWidth="1"/>
    <col min="8" max="8" width="12.85546875" style="346" customWidth="1"/>
    <col min="9" max="16384" width="9.140625" style="346"/>
  </cols>
  <sheetData>
    <row r="1" spans="1:10" ht="15">
      <c r="A1" s="537" t="s">
        <v>26</v>
      </c>
      <c r="B1" s="537"/>
      <c r="C1" s="537"/>
      <c r="D1" s="537"/>
      <c r="E1" s="537"/>
      <c r="F1" s="537"/>
      <c r="G1" s="537"/>
      <c r="H1" s="537"/>
    </row>
    <row r="2" spans="1:10">
      <c r="A2" s="538" t="s">
        <v>25</v>
      </c>
      <c r="B2" s="538"/>
      <c r="C2" s="538"/>
      <c r="D2" s="538"/>
      <c r="E2" s="538"/>
      <c r="F2" s="538"/>
      <c r="G2" s="538"/>
      <c r="H2" s="538"/>
    </row>
    <row r="3" spans="1:10">
      <c r="A3" s="538" t="s">
        <v>1480</v>
      </c>
      <c r="B3" s="538"/>
      <c r="C3" s="538"/>
      <c r="D3" s="538"/>
      <c r="E3" s="538"/>
      <c r="F3" s="538"/>
      <c r="G3" s="538"/>
      <c r="H3" s="538"/>
    </row>
    <row r="4" spans="1:10">
      <c r="A4" s="538" t="s">
        <v>1481</v>
      </c>
      <c r="B4" s="538"/>
      <c r="C4" s="538"/>
      <c r="D4" s="538"/>
      <c r="E4" s="538"/>
      <c r="F4" s="538"/>
      <c r="G4" s="538"/>
      <c r="H4" s="538"/>
    </row>
    <row r="8" spans="1:10">
      <c r="A8" s="347" t="s">
        <v>24</v>
      </c>
      <c r="B8" s="347"/>
      <c r="C8" s="347"/>
      <c r="D8" s="347"/>
      <c r="E8" s="347"/>
      <c r="F8" s="348" t="s">
        <v>23</v>
      </c>
      <c r="G8" s="347"/>
      <c r="H8" s="347"/>
      <c r="J8" s="482" t="s">
        <v>6647</v>
      </c>
    </row>
    <row r="9" spans="1:10">
      <c r="A9" s="347"/>
      <c r="B9" s="347"/>
      <c r="C9" s="347"/>
      <c r="D9" s="347"/>
      <c r="E9" s="347"/>
      <c r="F9" s="349" t="s">
        <v>1127</v>
      </c>
      <c r="G9" s="489" t="s">
        <v>7215</v>
      </c>
      <c r="H9" s="111"/>
      <c r="J9" s="482" t="s">
        <v>6648</v>
      </c>
    </row>
    <row r="10" spans="1:10">
      <c r="A10" s="347" t="s">
        <v>1371</v>
      </c>
      <c r="B10" s="347"/>
      <c r="C10" s="347"/>
      <c r="D10" s="347"/>
      <c r="E10" s="347"/>
      <c r="F10" s="349" t="s">
        <v>1162</v>
      </c>
      <c r="G10" s="489" t="s">
        <v>7191</v>
      </c>
      <c r="H10" s="111"/>
      <c r="J10" s="483"/>
    </row>
    <row r="11" spans="1:10">
      <c r="A11" s="347" t="s">
        <v>1372</v>
      </c>
      <c r="B11" s="347"/>
      <c r="C11" s="347"/>
      <c r="D11" s="347"/>
      <c r="E11" s="347"/>
      <c r="F11" s="349" t="s">
        <v>1163</v>
      </c>
      <c r="G11" s="489" t="s">
        <v>1094</v>
      </c>
      <c r="H11" s="111"/>
      <c r="J11" s="483" t="s">
        <v>2719</v>
      </c>
    </row>
    <row r="12" spans="1:10">
      <c r="A12" s="347"/>
      <c r="B12" s="347"/>
      <c r="C12" s="347"/>
      <c r="D12" s="347"/>
      <c r="E12" s="347"/>
      <c r="F12" s="349" t="s">
        <v>1135</v>
      </c>
      <c r="G12" s="483" t="s">
        <v>7216</v>
      </c>
      <c r="H12" s="111"/>
      <c r="J12" s="483" t="s">
        <v>1583</v>
      </c>
    </row>
    <row r="13" spans="1:10">
      <c r="A13" s="347"/>
      <c r="B13" s="347"/>
      <c r="C13" s="347"/>
      <c r="D13" s="347"/>
      <c r="E13" s="347"/>
      <c r="F13" s="347"/>
      <c r="G13" s="483" t="s">
        <v>7192</v>
      </c>
      <c r="H13" s="111"/>
      <c r="J13" s="483"/>
    </row>
    <row r="14" spans="1:10">
      <c r="A14" s="347"/>
      <c r="B14" s="347"/>
      <c r="C14" s="347"/>
      <c r="D14" s="347"/>
      <c r="E14" s="347"/>
      <c r="F14" s="347"/>
      <c r="G14" s="483"/>
      <c r="H14" s="347"/>
      <c r="J14" s="482" t="s">
        <v>6649</v>
      </c>
    </row>
    <row r="15" spans="1:10">
      <c r="A15" s="347"/>
      <c r="B15" s="347"/>
      <c r="C15" s="347"/>
      <c r="D15" s="347"/>
      <c r="E15" s="347"/>
      <c r="F15" s="347"/>
      <c r="G15" s="347"/>
      <c r="H15" s="347"/>
    </row>
    <row r="16" spans="1:10" s="355" customFormat="1" ht="20.100000000000001" customHeight="1">
      <c r="A16" s="351" t="s">
        <v>1122</v>
      </c>
      <c r="B16" s="351" t="s">
        <v>1132</v>
      </c>
      <c r="C16" s="351"/>
      <c r="D16" s="352" t="s">
        <v>14</v>
      </c>
      <c r="E16" s="352"/>
      <c r="F16" s="351"/>
      <c r="G16" s="353"/>
      <c r="H16" s="354" t="s">
        <v>13</v>
      </c>
    </row>
    <row r="17" spans="1:15">
      <c r="A17" s="347"/>
      <c r="B17" s="347"/>
      <c r="C17" s="347"/>
      <c r="D17" s="347"/>
      <c r="E17" s="347"/>
      <c r="F17" s="347"/>
      <c r="G17" s="347"/>
      <c r="H17" s="347"/>
    </row>
    <row r="18" spans="1:15">
      <c r="A18" s="148"/>
      <c r="B18" s="111"/>
      <c r="C18" s="111"/>
      <c r="D18" s="2" t="s">
        <v>5763</v>
      </c>
      <c r="E18" s="2"/>
      <c r="F18" s="111"/>
      <c r="G18" s="111"/>
      <c r="H18" s="347"/>
      <c r="I18" s="347"/>
    </row>
    <row r="19" spans="1:15">
      <c r="A19" s="148"/>
      <c r="B19" s="483"/>
      <c r="C19" s="483"/>
      <c r="D19" s="482" t="s">
        <v>7217</v>
      </c>
      <c r="E19" s="483"/>
      <c r="F19" s="483"/>
      <c r="G19" s="483"/>
      <c r="H19" s="483"/>
      <c r="I19" s="347"/>
    </row>
    <row r="20" spans="1:15">
      <c r="A20" s="148"/>
      <c r="B20" s="483"/>
      <c r="C20" s="483"/>
      <c r="D20" s="482"/>
      <c r="E20" s="483"/>
      <c r="F20" s="483"/>
      <c r="G20" s="483"/>
      <c r="H20" s="483"/>
      <c r="I20" s="347"/>
    </row>
    <row r="21" spans="1:15">
      <c r="A21" s="148" t="s">
        <v>2834</v>
      </c>
      <c r="B21" s="483"/>
      <c r="C21" s="483"/>
      <c r="D21" s="483" t="s">
        <v>7219</v>
      </c>
      <c r="E21" s="483"/>
      <c r="F21" s="483"/>
      <c r="G21" s="483"/>
      <c r="H21" s="483">
        <f>70*13</f>
        <v>910</v>
      </c>
      <c r="I21" s="347"/>
    </row>
    <row r="22" spans="1:15">
      <c r="A22" s="148" t="s">
        <v>7218</v>
      </c>
      <c r="B22" s="483"/>
      <c r="C22" s="483"/>
      <c r="D22" s="148" t="s">
        <v>7220</v>
      </c>
      <c r="E22" s="483"/>
      <c r="F22" s="483"/>
      <c r="G22" s="483"/>
      <c r="H22" s="483">
        <f>55*3</f>
        <v>165</v>
      </c>
    </row>
    <row r="23" spans="1:15">
      <c r="A23" s="148"/>
      <c r="B23" s="483"/>
      <c r="C23" s="483"/>
      <c r="D23" s="148" t="s">
        <v>7221</v>
      </c>
      <c r="E23" s="483"/>
      <c r="F23" s="483"/>
      <c r="G23" s="483"/>
      <c r="H23" s="483">
        <v>97.65</v>
      </c>
      <c r="J23" s="148"/>
      <c r="K23" s="111"/>
      <c r="L23" s="2" t="s">
        <v>5097</v>
      </c>
      <c r="M23" s="111"/>
      <c r="N23" s="111"/>
      <c r="O23" s="111"/>
    </row>
    <row r="24" spans="1:15">
      <c r="A24" s="148"/>
      <c r="B24" s="483"/>
      <c r="C24" s="483"/>
      <c r="D24" s="520"/>
      <c r="E24" s="483"/>
      <c r="F24" s="483"/>
      <c r="G24" s="483"/>
      <c r="H24" s="483"/>
      <c r="J24" s="148"/>
      <c r="K24" s="111"/>
      <c r="L24" s="111"/>
      <c r="M24" s="111"/>
      <c r="N24" s="111"/>
      <c r="O24" s="111"/>
    </row>
    <row r="25" spans="1:15">
      <c r="A25" s="148"/>
      <c r="B25" s="483"/>
      <c r="C25" s="483"/>
      <c r="D25" s="148"/>
      <c r="E25" s="483"/>
      <c r="F25" s="483"/>
      <c r="G25" s="483"/>
      <c r="H25" s="483"/>
      <c r="J25" s="357" t="s">
        <v>2834</v>
      </c>
      <c r="K25" s="111"/>
      <c r="L25" s="111" t="s">
        <v>5099</v>
      </c>
      <c r="M25" s="111"/>
      <c r="N25" s="111"/>
      <c r="O25" s="111">
        <v>2681.14</v>
      </c>
    </row>
    <row r="26" spans="1:15">
      <c r="A26" s="148"/>
      <c r="B26" s="111"/>
      <c r="C26" s="111"/>
      <c r="D26" s="483"/>
      <c r="E26" s="111"/>
      <c r="F26" s="111"/>
      <c r="G26" s="111"/>
      <c r="H26" s="111"/>
      <c r="J26" s="252" t="s">
        <v>5098</v>
      </c>
      <c r="K26" s="111"/>
      <c r="L26" s="111" t="s">
        <v>5100</v>
      </c>
      <c r="M26" s="111"/>
      <c r="N26" s="111"/>
      <c r="O26" s="111">
        <v>2398.81</v>
      </c>
    </row>
    <row r="27" spans="1:15">
      <c r="A27" s="148"/>
      <c r="B27" s="111"/>
      <c r="C27" s="111"/>
      <c r="D27" s="504"/>
      <c r="E27" s="111"/>
      <c r="F27" s="111"/>
      <c r="G27" s="111"/>
      <c r="H27" s="111"/>
      <c r="J27" s="252"/>
      <c r="K27" s="111"/>
      <c r="L27" s="111"/>
      <c r="M27" s="111"/>
      <c r="N27" s="111"/>
      <c r="O27" s="111"/>
    </row>
    <row r="28" spans="1:15">
      <c r="A28" s="148"/>
      <c r="B28" s="111"/>
      <c r="C28" s="111"/>
      <c r="D28" s="314"/>
      <c r="E28" s="111"/>
      <c r="F28" s="111"/>
      <c r="G28" s="111"/>
      <c r="H28" s="483"/>
      <c r="J28" s="252"/>
      <c r="K28" s="111"/>
      <c r="L28" s="111"/>
      <c r="M28" s="111"/>
      <c r="N28" s="111"/>
      <c r="O28" s="111"/>
    </row>
    <row r="29" spans="1:15">
      <c r="A29" s="148"/>
      <c r="B29" s="111"/>
      <c r="C29" s="111"/>
      <c r="D29" s="111"/>
      <c r="E29" s="111"/>
      <c r="F29" s="111"/>
      <c r="G29" s="111"/>
      <c r="H29" s="111"/>
      <c r="J29" s="252"/>
      <c r="K29" s="111"/>
      <c r="L29" s="111"/>
      <c r="M29" s="111"/>
      <c r="N29" s="111"/>
      <c r="O29" s="111"/>
    </row>
    <row r="30" spans="1:15">
      <c r="A30" s="148"/>
      <c r="B30" s="483"/>
      <c r="C30" s="483"/>
      <c r="D30" s="483"/>
      <c r="E30" s="483"/>
      <c r="F30" s="483"/>
      <c r="G30" s="483"/>
      <c r="H30" s="483"/>
      <c r="J30" s="252"/>
      <c r="K30" s="483"/>
      <c r="L30" s="483"/>
      <c r="M30" s="483"/>
      <c r="N30" s="483"/>
      <c r="O30" s="483"/>
    </row>
    <row r="31" spans="1:15">
      <c r="A31" s="148"/>
      <c r="B31" s="111"/>
      <c r="C31" s="111"/>
      <c r="D31" s="148"/>
      <c r="E31" s="111"/>
      <c r="F31" s="111"/>
      <c r="G31" s="111"/>
      <c r="H31" s="111"/>
      <c r="J31" s="252"/>
      <c r="K31" s="111"/>
      <c r="L31" s="111"/>
      <c r="M31" s="111"/>
      <c r="N31" s="111"/>
      <c r="O31" s="111"/>
    </row>
    <row r="32" spans="1:15">
      <c r="A32" s="148"/>
      <c r="B32" s="111"/>
      <c r="C32" s="111"/>
      <c r="D32" s="148"/>
      <c r="E32" s="483"/>
      <c r="F32" s="483"/>
      <c r="G32" s="483"/>
      <c r="H32" s="483"/>
      <c r="J32" s="252"/>
      <c r="K32" s="111"/>
      <c r="L32" s="111"/>
      <c r="M32" s="111"/>
      <c r="N32" s="111"/>
      <c r="O32" s="111"/>
    </row>
    <row r="33" spans="1:15">
      <c r="A33" s="148"/>
      <c r="B33" s="483"/>
      <c r="C33" s="483"/>
      <c r="D33" s="148"/>
      <c r="E33" s="483"/>
      <c r="F33" s="483"/>
      <c r="G33" s="483"/>
      <c r="H33" s="483"/>
      <c r="J33" s="252"/>
      <c r="K33" s="483"/>
      <c r="L33" s="483"/>
      <c r="M33" s="483"/>
      <c r="N33" s="483"/>
      <c r="O33" s="483"/>
    </row>
    <row r="34" spans="1:15">
      <c r="D34" s="347"/>
      <c r="E34" s="347"/>
      <c r="F34" s="347"/>
      <c r="G34" s="347"/>
      <c r="H34" s="347"/>
      <c r="I34" s="347"/>
    </row>
    <row r="35" spans="1:15" ht="13.5" thickBot="1">
      <c r="A35" s="357"/>
      <c r="B35" s="347"/>
      <c r="C35" s="347"/>
      <c r="D35" s="347"/>
      <c r="E35" s="347"/>
      <c r="F35" s="347"/>
      <c r="G35" s="347"/>
      <c r="H35" s="358">
        <f>SUM(H20:H34)</f>
        <v>1172.6500000000001</v>
      </c>
      <c r="I35" s="347"/>
    </row>
    <row r="36" spans="1:15" ht="13.5" thickTop="1">
      <c r="A36" s="359"/>
      <c r="B36" s="347"/>
      <c r="C36" s="347"/>
      <c r="D36" s="347"/>
      <c r="E36" s="347"/>
      <c r="F36" s="347"/>
      <c r="G36" s="347"/>
      <c r="H36" s="347"/>
      <c r="I36" s="347"/>
    </row>
    <row r="37" spans="1:15" ht="20.100000000000001" customHeight="1">
      <c r="A37" s="360" t="s">
        <v>1133</v>
      </c>
      <c r="B37" s="361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Thousand One Hundred Seventy-Two and 65/100 -----------</v>
      </c>
      <c r="C37" s="361"/>
      <c r="D37" s="362"/>
      <c r="E37" s="362"/>
      <c r="F37" s="362"/>
      <c r="G37" s="362"/>
      <c r="H37" s="362"/>
      <c r="I37" s="347"/>
    </row>
    <row r="38" spans="1:15">
      <c r="A38" s="350" t="s">
        <v>11</v>
      </c>
      <c r="B38" s="347"/>
      <c r="C38" s="347"/>
      <c r="D38" s="347"/>
      <c r="E38" s="347"/>
      <c r="F38" s="347"/>
      <c r="G38" s="347"/>
      <c r="H38" s="347"/>
    </row>
    <row r="39" spans="1:15" ht="25.5">
      <c r="A39" s="359" t="s">
        <v>10</v>
      </c>
      <c r="B39" s="347"/>
      <c r="C39" s="347"/>
      <c r="D39" s="347"/>
      <c r="E39" s="347"/>
      <c r="F39" s="363" t="s">
        <v>2894</v>
      </c>
      <c r="G39" s="364"/>
      <c r="H39" s="365"/>
    </row>
    <row r="40" spans="1:15">
      <c r="A40" s="347"/>
      <c r="B40" s="347"/>
      <c r="C40" s="347"/>
      <c r="D40" s="347"/>
      <c r="E40" s="347"/>
      <c r="F40" s="347"/>
      <c r="G40" s="347"/>
      <c r="H40" s="347"/>
    </row>
    <row r="41" spans="1:15">
      <c r="A41" s="366"/>
      <c r="B41" s="347"/>
      <c r="C41" s="347"/>
      <c r="D41" s="347"/>
      <c r="E41" s="347"/>
      <c r="F41" s="347"/>
      <c r="G41" s="347"/>
      <c r="H41" s="347"/>
    </row>
    <row r="42" spans="1:15">
      <c r="A42" s="347"/>
      <c r="B42" s="347"/>
      <c r="C42" s="347"/>
      <c r="D42" s="367"/>
      <c r="E42" s="367"/>
      <c r="F42" s="347"/>
      <c r="G42" s="347"/>
      <c r="H42" s="347"/>
    </row>
    <row r="43" spans="1:15">
      <c r="A43" s="368"/>
      <c r="B43" s="368"/>
      <c r="C43" s="448"/>
      <c r="D43" s="347"/>
      <c r="E43" s="347"/>
      <c r="F43" s="347"/>
      <c r="G43" s="347"/>
      <c r="H43" s="347"/>
    </row>
    <row r="44" spans="1:15">
      <c r="B44" s="347"/>
      <c r="C44" s="347"/>
      <c r="D44" s="347"/>
      <c r="E44" s="347"/>
      <c r="F44" s="347"/>
      <c r="G44" s="347"/>
      <c r="H44" s="347"/>
    </row>
    <row r="45" spans="1:15">
      <c r="A45" s="369" t="s">
        <v>8</v>
      </c>
      <c r="D45" s="369" t="s">
        <v>8</v>
      </c>
      <c r="E45" s="347"/>
      <c r="F45" s="369" t="s">
        <v>7</v>
      </c>
      <c r="G45" s="347"/>
      <c r="H45" s="370"/>
    </row>
    <row r="46" spans="1:15">
      <c r="A46" s="347"/>
      <c r="B46" s="347"/>
      <c r="C46" s="347"/>
      <c r="D46" s="347"/>
      <c r="E46" s="347"/>
      <c r="F46" s="347"/>
      <c r="G46" s="347"/>
      <c r="H46" s="347"/>
    </row>
    <row r="47" spans="1:15">
      <c r="A47" s="347"/>
      <c r="B47" s="347"/>
      <c r="C47" s="347"/>
      <c r="D47" s="347"/>
      <c r="E47" s="347"/>
      <c r="F47" s="347"/>
      <c r="G47" s="347"/>
      <c r="H47" s="347"/>
    </row>
    <row r="48" spans="1:15">
      <c r="A48" s="347"/>
      <c r="B48" s="347"/>
      <c r="C48" s="347"/>
      <c r="D48" s="347"/>
      <c r="E48" s="347"/>
      <c r="F48" s="347"/>
      <c r="G48" s="347"/>
      <c r="H48" s="347"/>
    </row>
    <row r="49" spans="1:8">
      <c r="A49" s="368"/>
      <c r="B49" s="368"/>
      <c r="C49" s="448"/>
      <c r="D49" s="368"/>
      <c r="E49" s="347"/>
      <c r="F49" s="368"/>
      <c r="G49" s="368"/>
      <c r="H49" s="368"/>
    </row>
    <row r="50" spans="1:8" s="372" customFormat="1" ht="17.100000000000001" customHeight="1">
      <c r="A50" s="366" t="s">
        <v>2948</v>
      </c>
      <c r="B50" s="371"/>
      <c r="C50" s="371"/>
      <c r="D50" s="151" t="s">
        <v>103</v>
      </c>
      <c r="E50" s="359"/>
      <c r="F50" s="359" t="s">
        <v>3</v>
      </c>
      <c r="G50" s="359"/>
      <c r="H50" s="359"/>
    </row>
    <row r="51" spans="1:8">
      <c r="A51" s="347"/>
      <c r="B51" s="347"/>
      <c r="C51" s="347"/>
      <c r="D51" s="347"/>
      <c r="E51" s="347"/>
      <c r="F51" s="347" t="s">
        <v>2</v>
      </c>
      <c r="G51" s="347"/>
      <c r="H51" s="347"/>
    </row>
    <row r="52" spans="1:8">
      <c r="A52" s="347"/>
      <c r="B52" s="347"/>
      <c r="C52" s="347"/>
      <c r="D52" s="347"/>
      <c r="E52" s="347"/>
      <c r="F52" s="347"/>
      <c r="G52" s="347"/>
      <c r="H52" s="347"/>
    </row>
    <row r="53" spans="1:8">
      <c r="A53" s="347"/>
      <c r="B53" s="347"/>
      <c r="C53" s="347"/>
      <c r="D53" s="347"/>
      <c r="E53" s="347"/>
      <c r="F53" s="356" t="s">
        <v>1</v>
      </c>
      <c r="G53" s="347"/>
      <c r="H53" s="347"/>
    </row>
    <row r="54" spans="1:8">
      <c r="A54" s="347"/>
      <c r="B54" s="347"/>
      <c r="C54" s="347"/>
      <c r="D54" s="347"/>
      <c r="E54" s="347"/>
      <c r="F54" s="356" t="s">
        <v>0</v>
      </c>
      <c r="G54" s="347"/>
      <c r="H54" s="347"/>
    </row>
    <row r="55" spans="1:8">
      <c r="A55" s="347"/>
      <c r="B55" s="347"/>
      <c r="C55" s="347"/>
      <c r="D55" s="347"/>
      <c r="E55" s="347"/>
      <c r="F55" s="347"/>
      <c r="G55" s="347"/>
      <c r="H55" s="347"/>
    </row>
    <row r="56" spans="1:8">
      <c r="A56" s="347"/>
      <c r="B56" s="347"/>
      <c r="C56" s="347"/>
      <c r="D56" s="347"/>
      <c r="E56" s="347"/>
      <c r="F56" s="347"/>
      <c r="G56" s="347"/>
      <c r="H56" s="347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801-000000000000}">
  <sheetPr codeName="Sheet315">
    <pageSetUpPr fitToPage="1"/>
  </sheetPr>
  <dimension ref="A1:G59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2858</v>
      </c>
      <c r="F9" s="111"/>
    </row>
    <row r="10" spans="1:6">
      <c r="A10" s="111" t="s">
        <v>1371</v>
      </c>
      <c r="B10" s="111"/>
      <c r="C10" s="111"/>
      <c r="D10" s="112" t="s">
        <v>1162</v>
      </c>
      <c r="E10" s="112" t="s">
        <v>2850</v>
      </c>
      <c r="F10" s="111"/>
    </row>
    <row r="11" spans="1:6">
      <c r="A11" s="111" t="s">
        <v>1372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/>
      <c r="B12" s="111"/>
      <c r="C12" s="111"/>
      <c r="D12" s="112" t="s">
        <v>1135</v>
      </c>
      <c r="E12" s="112" t="s">
        <v>2859</v>
      </c>
      <c r="F12" s="111"/>
    </row>
    <row r="13" spans="1:6">
      <c r="A13" s="111"/>
      <c r="B13" s="111"/>
      <c r="C13" s="111"/>
      <c r="D13" s="111"/>
      <c r="E13" s="13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48"/>
      <c r="B18" s="111"/>
      <c r="C18" s="2" t="s">
        <v>2416</v>
      </c>
      <c r="D18" s="111"/>
      <c r="E18" s="111"/>
      <c r="F18" s="111"/>
    </row>
    <row r="19" spans="1:7">
      <c r="A19" s="111"/>
      <c r="B19" s="111"/>
      <c r="C19" s="2"/>
      <c r="D19" s="111"/>
      <c r="E19" s="111"/>
      <c r="F19" s="111"/>
    </row>
    <row r="20" spans="1:7">
      <c r="B20" s="111"/>
      <c r="C20" s="168" t="s">
        <v>2857</v>
      </c>
      <c r="D20" s="111"/>
      <c r="E20" s="111"/>
      <c r="F20" s="111"/>
    </row>
    <row r="21" spans="1:7">
      <c r="B21" s="111"/>
      <c r="C21" s="2"/>
      <c r="D21" s="111"/>
      <c r="E21" s="111"/>
      <c r="F21" s="111"/>
    </row>
    <row r="22" spans="1:7">
      <c r="A22" s="159" t="s">
        <v>1906</v>
      </c>
      <c r="B22" s="157"/>
      <c r="C22" s="111" t="s">
        <v>2862</v>
      </c>
      <c r="D22" s="111"/>
      <c r="E22" s="111"/>
      <c r="F22" s="111">
        <f>55.5+128.75+105</f>
        <v>289.25</v>
      </c>
      <c r="G22" s="111"/>
    </row>
    <row r="23" spans="1:7">
      <c r="A23" s="252" t="s">
        <v>2860</v>
      </c>
      <c r="B23" s="157"/>
      <c r="C23" s="111" t="s">
        <v>2863</v>
      </c>
      <c r="D23" s="111"/>
      <c r="E23" s="111"/>
      <c r="F23" s="111">
        <f>52.5+236</f>
        <v>288.5</v>
      </c>
      <c r="G23" s="111"/>
    </row>
    <row r="24" spans="1:7">
      <c r="A24" s="148" t="s">
        <v>2861</v>
      </c>
      <c r="B24" s="157"/>
      <c r="C24" s="111" t="s">
        <v>2864</v>
      </c>
      <c r="D24" s="111"/>
      <c r="E24" s="111"/>
      <c r="F24" s="111">
        <v>294.60000000000002</v>
      </c>
      <c r="G24" s="111"/>
    </row>
    <row r="25" spans="1:7">
      <c r="A25" s="159"/>
      <c r="B25" s="111"/>
      <c r="C25" s="111"/>
      <c r="D25" s="111"/>
      <c r="E25" s="111"/>
      <c r="F25" s="111"/>
      <c r="G25" s="111"/>
    </row>
    <row r="26" spans="1:7">
      <c r="A26" s="252"/>
      <c r="B26" s="111"/>
      <c r="C26" s="111"/>
      <c r="D26" s="111"/>
      <c r="E26" s="111"/>
      <c r="F26" s="111"/>
      <c r="G26" s="111"/>
    </row>
    <row r="27" spans="1:7">
      <c r="A27" s="148"/>
      <c r="B27" s="111"/>
      <c r="C27" s="2"/>
      <c r="D27" s="111"/>
      <c r="E27" s="111"/>
      <c r="F27" s="111"/>
      <c r="G27" s="111"/>
    </row>
    <row r="28" spans="1:7">
      <c r="A28" s="111"/>
      <c r="B28" s="120"/>
      <c r="C28" s="111"/>
      <c r="D28" s="111"/>
      <c r="E28" s="111"/>
      <c r="F28" s="111"/>
      <c r="G28" s="111"/>
    </row>
    <row r="29" spans="1:7">
      <c r="A29" s="159"/>
      <c r="B29" s="120"/>
      <c r="C29" s="111"/>
      <c r="D29" s="111"/>
      <c r="E29" s="111"/>
      <c r="F29" s="111"/>
      <c r="G29" s="111"/>
    </row>
    <row r="30" spans="1:7">
      <c r="A30" s="252"/>
      <c r="B30" s="120"/>
      <c r="C30" s="111"/>
      <c r="D30" s="111"/>
      <c r="E30" s="111"/>
      <c r="F30" s="111"/>
      <c r="G30" s="111"/>
    </row>
    <row r="31" spans="1:7">
      <c r="A31" s="148"/>
      <c r="B31" s="120"/>
      <c r="C31" s="111"/>
      <c r="D31" s="111"/>
      <c r="E31" s="111"/>
      <c r="F31" s="111"/>
      <c r="G31" s="111"/>
    </row>
    <row r="32" spans="1:7">
      <c r="A32" s="159"/>
      <c r="B32" s="120"/>
      <c r="C32" s="111"/>
      <c r="D32" s="111"/>
      <c r="E32" s="111"/>
      <c r="F32" s="111"/>
      <c r="G32" s="111"/>
    </row>
    <row r="33" spans="1:7">
      <c r="A33" s="252"/>
      <c r="B33" s="111"/>
      <c r="C33" s="111"/>
      <c r="D33" s="111"/>
      <c r="E33" s="111"/>
      <c r="F33" s="111"/>
      <c r="G33" s="111"/>
    </row>
    <row r="34" spans="1:7">
      <c r="A34" s="148"/>
      <c r="B34" s="111"/>
      <c r="C34" s="111"/>
      <c r="D34" s="111"/>
      <c r="E34" s="111"/>
      <c r="F34" s="111"/>
      <c r="G34" s="111"/>
    </row>
    <row r="35" spans="1:7">
      <c r="A35" s="148"/>
      <c r="B35" s="120"/>
      <c r="C35" s="111"/>
      <c r="D35" s="111"/>
      <c r="E35" s="111"/>
      <c r="F35" s="111"/>
      <c r="G35" s="111"/>
    </row>
    <row r="36" spans="1:7">
      <c r="A36" s="111"/>
      <c r="B36" s="111"/>
      <c r="C36" s="111"/>
      <c r="D36" s="111"/>
      <c r="E36" s="111"/>
      <c r="F36" s="111"/>
      <c r="G36" s="111"/>
    </row>
    <row r="38" spans="1:7" ht="13.5" thickBot="1">
      <c r="A38" s="111"/>
      <c r="B38" s="111"/>
      <c r="C38" s="111"/>
      <c r="D38" s="111"/>
      <c r="E38" s="111"/>
      <c r="F38" s="117">
        <f>SUM(F19:F36)</f>
        <v>872.35</v>
      </c>
    </row>
    <row r="39" spans="1:7" ht="26.25" thickTop="1">
      <c r="A39" s="126"/>
      <c r="B39" s="111"/>
      <c r="C39" s="111"/>
      <c r="D39" s="265" t="s">
        <v>2894</v>
      </c>
      <c r="E39" s="266"/>
      <c r="F39" s="267"/>
    </row>
    <row r="40" spans="1:7" ht="20.100000000000001" customHeight="1">
      <c r="A40" s="118" t="s">
        <v>1133</v>
      </c>
      <c r="B40" s="202" t="str">
        <f>IF(OR(F38&gt;1000000,F38&lt;=0),"",IF(F38&lt;1000,"",IF(MOD(F38,1000000)&gt;=100000,INDEX(numbers,TRUNC(MOD(F38,1000000)/100000,0)+1)&amp;" Hundred","")&amp;IF(MOD(F38,100000)&gt;=20000," "&amp;INDEX(tens,TRUNC(MOD(F38,100000)/10000,0)+1)&amp;IF(MOD(MOD(F38,100000),10000)&gt;=1000,"-"&amp;INDEX(numbers,TRUNC(MOD(MOD(F38,100000),10000)/1000,0)+1),""),IF(MOD(F38,100000)&gt;=1000," "&amp;INDEX(numbers,TRUNC(MOD(F38,100000)/1000,0)+1),""))&amp;" Thousand") &amp; IF(F38&lt;1,"Zero Dollars",IF(MOD(F38,1000)&gt;=100," "&amp;INDEX(numbers,TRUNC(MOD(F38,1000)/100,0)+1)&amp;" Hundred","")&amp;IF(MOD(F38,100)&gt;=20," "&amp;INDEX(tens,TRUNC(MOD(F38,100)/10,0)+1)&amp;IF(MOD(MOD(F38,100),10)&gt;=1,"-"&amp;INDEX(numbers,TRUNC(MOD(MOD(F38,100),10),0)+1),""),IF(MOD(F38,100)&gt;=1," "&amp;INDEX(numbers,TRUNC(MOD(F38,100),0)+1),""))&amp;"") &amp; " and " &amp; IF(MOD(F38,1)&lt;0.005,"NO",ROUND(MOD(F38,1)*100,0)) &amp; "/100 -----------")</f>
        <v xml:space="preserve"> Eight Hundred Seventy-Two and 35/100 -----------</v>
      </c>
      <c r="C40" s="119"/>
      <c r="D40" s="119"/>
      <c r="E40" s="119"/>
      <c r="F40" s="119"/>
    </row>
    <row r="41" spans="1:7">
      <c r="A41" s="120" t="s">
        <v>11</v>
      </c>
      <c r="B41" s="111"/>
      <c r="C41" s="111"/>
      <c r="D41" s="111"/>
      <c r="E41" s="111"/>
      <c r="F41" s="111"/>
    </row>
    <row r="42" spans="1:7">
      <c r="A42" s="111" t="s">
        <v>10</v>
      </c>
      <c r="B42" s="111"/>
      <c r="C42" s="111"/>
      <c r="D42" s="111"/>
      <c r="E42" s="111"/>
      <c r="F42" s="111"/>
    </row>
    <row r="43" spans="1:7">
      <c r="A43" s="111"/>
      <c r="B43" s="111"/>
      <c r="C43" s="111"/>
      <c r="D43" s="111"/>
      <c r="E43" s="111"/>
      <c r="F43" s="111"/>
    </row>
    <row r="44" spans="1:7">
      <c r="A44" s="111"/>
      <c r="B44" s="111"/>
      <c r="C44" s="111"/>
      <c r="D44" s="111"/>
      <c r="E44" s="111"/>
      <c r="F44" s="111"/>
    </row>
    <row r="45" spans="1:7">
      <c r="A45" s="111"/>
      <c r="B45" s="111"/>
      <c r="C45" s="121"/>
      <c r="D45" s="111"/>
      <c r="E45" s="111"/>
      <c r="F45" s="111"/>
    </row>
    <row r="46" spans="1:7">
      <c r="A46" s="122"/>
      <c r="B46" s="122"/>
      <c r="C46" s="111"/>
      <c r="D46" s="111"/>
      <c r="E46" s="111"/>
      <c r="F46" s="111"/>
    </row>
    <row r="47" spans="1:7">
      <c r="B47" s="111"/>
      <c r="C47" s="111"/>
      <c r="D47" s="111"/>
      <c r="E47" s="111"/>
      <c r="F47" s="111"/>
    </row>
    <row r="48" spans="1:7">
      <c r="A48" s="123" t="s">
        <v>8</v>
      </c>
      <c r="C48" s="111"/>
      <c r="D48" s="123" t="s">
        <v>7</v>
      </c>
      <c r="E48" s="111"/>
      <c r="F48" s="124"/>
    </row>
    <row r="49" spans="1:6">
      <c r="A49" s="111"/>
      <c r="B49" s="111"/>
      <c r="C49" s="111"/>
      <c r="D49" s="111"/>
      <c r="E49" s="111"/>
      <c r="F49" s="111"/>
    </row>
    <row r="50" spans="1:6">
      <c r="A50" s="151" t="s">
        <v>2948</v>
      </c>
      <c r="B50" s="111"/>
      <c r="C50" s="111"/>
      <c r="D50" s="111"/>
      <c r="E50" s="111"/>
      <c r="F50" s="111"/>
    </row>
    <row r="51" spans="1:6">
      <c r="A51" s="111"/>
      <c r="B51" s="111"/>
      <c r="C51" s="111"/>
      <c r="D51" s="111"/>
      <c r="E51" s="111"/>
      <c r="F51" s="111"/>
    </row>
    <row r="52" spans="1:6">
      <c r="A52" s="122"/>
      <c r="B52" s="122"/>
      <c r="C52" s="111"/>
      <c r="D52" s="122"/>
      <c r="E52" s="122"/>
      <c r="F52" s="122"/>
    </row>
    <row r="53" spans="1:6" s="3" customFormat="1" ht="17.100000000000001" customHeight="1">
      <c r="A53" s="125" t="s">
        <v>4</v>
      </c>
      <c r="B53" s="125"/>
      <c r="C53" s="126"/>
      <c r="D53" s="126" t="s">
        <v>3</v>
      </c>
      <c r="E53" s="126"/>
      <c r="F53" s="126"/>
    </row>
    <row r="54" spans="1:6">
      <c r="A54" s="111"/>
      <c r="B54" s="111"/>
      <c r="C54" s="111"/>
      <c r="D54" s="111" t="s">
        <v>2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2" t="s">
        <v>1</v>
      </c>
      <c r="E56" s="111"/>
      <c r="F56" s="111"/>
    </row>
    <row r="57" spans="1:6">
      <c r="A57" s="111"/>
      <c r="B57" s="111"/>
      <c r="C57" s="111"/>
      <c r="D57" s="2" t="s">
        <v>0</v>
      </c>
      <c r="E57" s="111"/>
      <c r="F57" s="111"/>
    </row>
    <row r="58" spans="1:6">
      <c r="A58" s="111"/>
      <c r="B58" s="111"/>
      <c r="C58" s="111"/>
      <c r="D58" s="111"/>
      <c r="E58" s="111"/>
      <c r="F58" s="111"/>
    </row>
    <row r="59" spans="1:6">
      <c r="A59" s="111"/>
      <c r="B59" s="111"/>
      <c r="C59" s="111"/>
      <c r="D59" s="111"/>
      <c r="E59" s="111"/>
      <c r="F59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E725B-4798-44B2-9894-660E0F6D3560}">
  <sheetPr codeName="Sheet559"/>
  <dimension ref="A1:P55"/>
  <sheetViews>
    <sheetView view="pageBreakPreview" topLeftCell="A4" zoomScale="115" zoomScaleNormal="100" zoomScaleSheetLayoutView="115" workbookViewId="0">
      <selection activeCell="G9" sqref="G9:G13"/>
    </sheetView>
  </sheetViews>
  <sheetFormatPr defaultRowHeight="12.75"/>
  <cols>
    <col min="1" max="1" width="16" style="131" customWidth="1"/>
    <col min="2" max="2" width="13.7109375" style="131" customWidth="1"/>
    <col min="3" max="3" width="1.28515625" style="131" customWidth="1"/>
    <col min="4" max="4" width="19.42578125" style="131" customWidth="1"/>
    <col min="5" max="5" width="1.42578125" style="131" customWidth="1"/>
    <col min="6" max="6" width="15.28515625" style="131" customWidth="1"/>
    <col min="7" max="7" width="7.5703125" style="131" customWidth="1"/>
    <col min="8" max="8" width="13.28515625" style="131" customWidth="1"/>
    <col min="9" max="15" width="9.140625" style="86"/>
    <col min="16" max="16" width="9.7109375" style="86" bestFit="1" customWidth="1"/>
    <col min="17" max="16384" width="9.140625" style="86"/>
  </cols>
  <sheetData>
    <row r="1" spans="1:16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6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6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6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16">
      <c r="A8" s="131" t="s">
        <v>24</v>
      </c>
      <c r="F8" s="87" t="s">
        <v>23</v>
      </c>
      <c r="J8" s="86" t="s">
        <v>5751</v>
      </c>
      <c r="K8" s="86">
        <v>43612</v>
      </c>
      <c r="M8" s="86" t="s">
        <v>1270</v>
      </c>
    </row>
    <row r="9" spans="1:16">
      <c r="A9" s="131" t="s">
        <v>5739</v>
      </c>
      <c r="F9" s="132" t="s">
        <v>1110</v>
      </c>
      <c r="G9" s="111" t="s">
        <v>5803</v>
      </c>
    </row>
    <row r="10" spans="1:16">
      <c r="A10" s="131" t="s">
        <v>5740</v>
      </c>
      <c r="F10" s="132" t="s">
        <v>1685</v>
      </c>
      <c r="G10" s="112" t="s">
        <v>5804</v>
      </c>
    </row>
    <row r="11" spans="1:16">
      <c r="A11" s="131" t="s">
        <v>5741</v>
      </c>
      <c r="F11" s="132" t="s">
        <v>1163</v>
      </c>
      <c r="G11" s="112" t="s">
        <v>1094</v>
      </c>
    </row>
    <row r="12" spans="1:16">
      <c r="A12" s="131" t="s">
        <v>5742</v>
      </c>
      <c r="F12" s="132" t="s">
        <v>1188</v>
      </c>
      <c r="G12" s="112" t="s">
        <v>1270</v>
      </c>
    </row>
    <row r="13" spans="1:16">
      <c r="A13" s="131" t="s">
        <v>5743</v>
      </c>
      <c r="L13" s="131" t="s">
        <v>4741</v>
      </c>
      <c r="M13" s="131"/>
      <c r="N13" s="131"/>
      <c r="O13" s="131"/>
      <c r="P13" s="131">
        <v>3000</v>
      </c>
    </row>
    <row r="14" spans="1:16">
      <c r="L14" s="131" t="s">
        <v>1814</v>
      </c>
      <c r="M14" s="131"/>
      <c r="N14" s="131"/>
      <c r="O14" s="131"/>
      <c r="P14" s="131">
        <f>P13*6%</f>
        <v>180</v>
      </c>
    </row>
    <row r="15" spans="1:16">
      <c r="L15" s="131"/>
      <c r="M15" s="131"/>
      <c r="N15" s="131"/>
      <c r="O15" s="131"/>
      <c r="P15" s="131"/>
    </row>
    <row r="16" spans="1:16" s="95" customFormat="1" ht="20.100000000000001" customHeight="1">
      <c r="A16" s="91" t="s">
        <v>1097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  <c r="L16" s="131" t="s">
        <v>4743</v>
      </c>
      <c r="M16" s="131"/>
      <c r="N16" s="131"/>
      <c r="O16" s="131"/>
      <c r="P16" s="131">
        <f>3000*4</f>
        <v>12000</v>
      </c>
    </row>
    <row r="17" spans="1:16">
      <c r="A17" s="177"/>
      <c r="K17" s="131"/>
      <c r="L17" s="131" t="s">
        <v>4742</v>
      </c>
      <c r="M17" s="131"/>
      <c r="N17" s="131"/>
      <c r="O17" s="131"/>
      <c r="P17" s="131">
        <f>3000*4</f>
        <v>12000</v>
      </c>
    </row>
    <row r="18" spans="1:16">
      <c r="D18" s="110" t="s">
        <v>5805</v>
      </c>
      <c r="E18" s="110"/>
      <c r="K18" s="131"/>
      <c r="L18" s="131" t="s">
        <v>1814</v>
      </c>
      <c r="M18" s="131"/>
      <c r="N18" s="131"/>
      <c r="O18" s="131"/>
      <c r="P18" s="131">
        <f>SUM(P16+P17)*6%</f>
        <v>1440</v>
      </c>
    </row>
    <row r="19" spans="1:16">
      <c r="A19" s="177"/>
      <c r="D19" s="110"/>
      <c r="E19" s="110"/>
      <c r="K19" s="131"/>
      <c r="L19" s="131"/>
      <c r="M19" s="131"/>
      <c r="N19" s="131"/>
      <c r="O19" s="131"/>
    </row>
    <row r="20" spans="1:16">
      <c r="A20" s="254" t="s">
        <v>5806</v>
      </c>
      <c r="B20" s="158" t="s">
        <v>5807</v>
      </c>
      <c r="C20" s="158"/>
      <c r="D20" s="131" t="s">
        <v>5808</v>
      </c>
      <c r="H20" s="131">
        <f>25750*0.1412</f>
        <v>3635.8999999999996</v>
      </c>
    </row>
    <row r="21" spans="1:16">
      <c r="A21" s="254"/>
      <c r="B21" s="158"/>
      <c r="C21" s="158"/>
      <c r="J21" s="86" t="s">
        <v>5752</v>
      </c>
      <c r="K21" s="86" t="s">
        <v>5753</v>
      </c>
    </row>
    <row r="22" spans="1:16">
      <c r="A22" s="254"/>
      <c r="B22" s="141"/>
      <c r="D22" s="131" t="s">
        <v>5809</v>
      </c>
      <c r="J22" s="86" t="s">
        <v>5754</v>
      </c>
      <c r="K22" s="86" t="s">
        <v>5755</v>
      </c>
      <c r="L22" s="86" t="s">
        <v>5756</v>
      </c>
    </row>
    <row r="23" spans="1:16">
      <c r="A23" s="254"/>
      <c r="B23" s="158"/>
    </row>
    <row r="24" spans="1:16">
      <c r="A24" s="254"/>
      <c r="B24" s="158"/>
      <c r="D24" s="131" t="s">
        <v>1697</v>
      </c>
      <c r="H24" s="131">
        <v>6</v>
      </c>
    </row>
    <row r="25" spans="1:16">
      <c r="D25" s="110"/>
    </row>
    <row r="26" spans="1:16">
      <c r="A26" s="158"/>
      <c r="B26" s="141"/>
    </row>
    <row r="27" spans="1:16">
      <c r="A27" s="254"/>
      <c r="B27" s="158"/>
    </row>
    <row r="29" spans="1:16">
      <c r="A29" s="158"/>
      <c r="B29" s="141"/>
    </row>
    <row r="30" spans="1:16">
      <c r="A30" s="254"/>
      <c r="B30" s="158"/>
    </row>
    <row r="31" spans="1:16">
      <c r="A31" s="158"/>
      <c r="B31" s="141"/>
    </row>
    <row r="32" spans="1:16">
      <c r="A32" s="158"/>
      <c r="B32" s="141"/>
    </row>
    <row r="33" spans="1:8">
      <c r="A33" s="158"/>
      <c r="B33" s="141"/>
    </row>
    <row r="34" spans="1:8">
      <c r="A34" s="158"/>
      <c r="B34" s="158"/>
      <c r="C34" s="86"/>
    </row>
    <row r="35" spans="1:8">
      <c r="A35" s="177"/>
      <c r="H35" s="86"/>
    </row>
    <row r="36" spans="1:8" ht="13.5" thickBot="1">
      <c r="A36" s="177"/>
      <c r="H36" s="164">
        <f>SUM(H19:H34)</f>
        <v>3641.8999999999996</v>
      </c>
    </row>
    <row r="37" spans="1:8" ht="13.5" thickTop="1">
      <c r="A37" s="177"/>
    </row>
    <row r="38" spans="1:8" ht="20.100000000000001" customHeight="1">
      <c r="A38" s="138" t="s">
        <v>1686</v>
      </c>
      <c r="B38" s="204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Three Thousand Six Hundred Forty-One and 90/100 -----------</v>
      </c>
      <c r="C38" s="204"/>
      <c r="D38" s="139"/>
      <c r="E38" s="139"/>
      <c r="F38" s="139"/>
      <c r="G38" s="139"/>
      <c r="H38" s="139"/>
    </row>
    <row r="39" spans="1:8">
      <c r="A39" s="140"/>
    </row>
    <row r="40" spans="1:8" ht="25.5">
      <c r="A40" s="131" t="s">
        <v>10</v>
      </c>
      <c r="F40" s="283" t="s">
        <v>2894</v>
      </c>
      <c r="G40" s="284"/>
      <c r="H40" s="285"/>
    </row>
    <row r="42" spans="1:8">
      <c r="F42" s="291"/>
      <c r="G42" s="291"/>
      <c r="H42" s="291"/>
    </row>
    <row r="43" spans="1:8">
      <c r="A43" s="131" t="s">
        <v>51</v>
      </c>
      <c r="D43" s="141"/>
      <c r="E43" s="141"/>
      <c r="F43" s="286"/>
      <c r="G43" s="287"/>
      <c r="H43" s="287"/>
    </row>
    <row r="44" spans="1:8">
      <c r="A44" s="104"/>
      <c r="B44" s="142"/>
    </row>
    <row r="46" spans="1:8">
      <c r="A46" s="131" t="s">
        <v>8</v>
      </c>
      <c r="D46" s="131" t="s">
        <v>8</v>
      </c>
      <c r="F46" s="143" t="s">
        <v>7</v>
      </c>
      <c r="H46" s="144"/>
    </row>
    <row r="50" spans="1:8">
      <c r="A50" s="142"/>
      <c r="B50" s="142"/>
      <c r="D50" s="142"/>
      <c r="F50" s="142"/>
      <c r="G50" s="142"/>
      <c r="H50" s="142"/>
    </row>
    <row r="51" spans="1:8" s="109" customFormat="1" ht="17.100000000000001" customHeight="1">
      <c r="A51" s="131" t="s">
        <v>2948</v>
      </c>
      <c r="B51" s="146"/>
      <c r="C51" s="146"/>
      <c r="D51" s="131" t="s">
        <v>103</v>
      </c>
      <c r="E51" s="147"/>
      <c r="F51" s="147" t="s">
        <v>3</v>
      </c>
      <c r="G51" s="147"/>
      <c r="H51" s="147"/>
    </row>
    <row r="52" spans="1:8">
      <c r="F52" s="131" t="s">
        <v>2</v>
      </c>
    </row>
    <row r="54" spans="1:8">
      <c r="F54" s="110" t="s">
        <v>1</v>
      </c>
    </row>
    <row r="55" spans="1:8">
      <c r="F55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6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901-000000000000}">
  <sheetPr codeName="Sheet12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809</v>
      </c>
    </row>
    <row r="10" spans="1:6">
      <c r="A10" s="1" t="s">
        <v>808</v>
      </c>
      <c r="D10" s="21" t="s">
        <v>21</v>
      </c>
      <c r="E10" s="21" t="s">
        <v>441</v>
      </c>
    </row>
    <row r="11" spans="1:6">
      <c r="A11" s="1" t="s">
        <v>807</v>
      </c>
      <c r="D11" s="21" t="s">
        <v>19</v>
      </c>
      <c r="E11" s="21" t="s">
        <v>18</v>
      </c>
    </row>
    <row r="12" spans="1:6">
      <c r="A12" s="1" t="s">
        <v>806</v>
      </c>
      <c r="D12" s="21" t="s">
        <v>17</v>
      </c>
      <c r="E12" s="21" t="s">
        <v>438</v>
      </c>
    </row>
    <row r="13" spans="1:6">
      <c r="A13" s="1" t="s">
        <v>805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8" spans="2:6">
      <c r="C18" s="14" t="s">
        <v>436</v>
      </c>
    </row>
    <row r="19" spans="2:6">
      <c r="C19" s="14" t="s">
        <v>435</v>
      </c>
    </row>
    <row r="21" spans="2:6">
      <c r="B21" s="8"/>
      <c r="C21" s="1" t="s">
        <v>804</v>
      </c>
      <c r="D21" s="1" t="s">
        <v>803</v>
      </c>
    </row>
    <row r="22" spans="2:6">
      <c r="C22" s="1" t="s">
        <v>802</v>
      </c>
      <c r="D22" s="1" t="s">
        <v>801</v>
      </c>
    </row>
    <row r="23" spans="2:6">
      <c r="B23" s="8"/>
      <c r="C23" s="1" t="s">
        <v>800</v>
      </c>
      <c r="D23" s="1" t="s">
        <v>799</v>
      </c>
    </row>
    <row r="24" spans="2:6">
      <c r="B24" s="8"/>
      <c r="C24" s="1" t="s">
        <v>798</v>
      </c>
      <c r="D24" s="35" t="s">
        <v>797</v>
      </c>
    </row>
    <row r="25" spans="2:6">
      <c r="C25" s="8"/>
      <c r="D25" s="43" t="s">
        <v>796</v>
      </c>
    </row>
    <row r="26" spans="2:6">
      <c r="C26" s="8"/>
    </row>
    <row r="27" spans="2:6">
      <c r="C27" s="1" t="s">
        <v>795</v>
      </c>
      <c r="F27" s="1">
        <v>12733.87</v>
      </c>
    </row>
    <row r="29" spans="2:6">
      <c r="B29" s="8"/>
      <c r="C29" s="1" t="s">
        <v>410</v>
      </c>
      <c r="F29" s="1">
        <v>10</v>
      </c>
    </row>
    <row r="30" spans="2:6">
      <c r="B30" s="8"/>
    </row>
    <row r="33" spans="1:6" ht="13.5" thickBot="1">
      <c r="F33" s="12">
        <f>SUM(F20:F32)</f>
        <v>12743.87</v>
      </c>
    </row>
    <row r="34" spans="1:6" ht="13.5" thickTop="1"/>
    <row r="35" spans="1:6" ht="20.100000000000001" customHeight="1">
      <c r="A35" s="10" t="s">
        <v>794</v>
      </c>
      <c r="B35" s="10"/>
      <c r="C35" s="9"/>
      <c r="D35" s="9"/>
      <c r="E35" s="9"/>
      <c r="F35" s="9"/>
    </row>
    <row r="36" spans="1:6">
      <c r="A36" s="8" t="s">
        <v>11</v>
      </c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A01-000000000000}">
  <sheetPr codeName="Sheet156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4.7109375" style="86" customWidth="1"/>
    <col min="2" max="2" width="15.85546875" style="86" customWidth="1"/>
    <col min="3" max="3" width="23" style="86" customWidth="1"/>
    <col min="4" max="4" width="12.5703125" style="86" customWidth="1"/>
    <col min="5" max="5" width="12" style="86" customWidth="1"/>
    <col min="6" max="6" width="13" style="86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1481</v>
      </c>
      <c r="B4" s="532"/>
      <c r="C4" s="532"/>
      <c r="D4" s="532"/>
      <c r="E4" s="532"/>
      <c r="F4" s="532"/>
    </row>
    <row r="8" spans="1:6">
      <c r="A8" s="86" t="s">
        <v>24</v>
      </c>
      <c r="D8" s="87" t="s">
        <v>23</v>
      </c>
    </row>
    <row r="9" spans="1:6">
      <c r="D9" s="88" t="s">
        <v>1090</v>
      </c>
      <c r="E9" s="86" t="s">
        <v>1108</v>
      </c>
    </row>
    <row r="10" spans="1:6">
      <c r="A10" s="86" t="s">
        <v>1107</v>
      </c>
      <c r="D10" s="88" t="s">
        <v>1091</v>
      </c>
      <c r="E10" s="89">
        <v>40617</v>
      </c>
    </row>
    <row r="11" spans="1:6">
      <c r="A11" s="86" t="s">
        <v>1092</v>
      </c>
      <c r="D11" s="88" t="s">
        <v>1093</v>
      </c>
      <c r="E11" s="88" t="s">
        <v>1094</v>
      </c>
    </row>
    <row r="12" spans="1:6">
      <c r="A12" s="86" t="s">
        <v>1095</v>
      </c>
      <c r="D12" s="88" t="s">
        <v>1096</v>
      </c>
      <c r="E12" s="88" t="s">
        <v>1109</v>
      </c>
    </row>
    <row r="16" spans="1:6" s="95" customFormat="1" ht="20.100000000000001" customHeight="1">
      <c r="A16" s="90" t="s">
        <v>1097</v>
      </c>
      <c r="B16" s="91" t="s">
        <v>1098</v>
      </c>
      <c r="C16" s="92" t="s">
        <v>14</v>
      </c>
      <c r="D16" s="90"/>
      <c r="E16" s="93"/>
      <c r="F16" s="94" t="s">
        <v>13</v>
      </c>
    </row>
    <row r="18" spans="1:6">
      <c r="B18" s="96"/>
    </row>
    <row r="19" spans="1:6">
      <c r="B19" s="97"/>
      <c r="C19" s="86" t="s">
        <v>1099</v>
      </c>
    </row>
    <row r="20" spans="1:6">
      <c r="B20" s="97"/>
      <c r="C20" s="86" t="s">
        <v>1100</v>
      </c>
    </row>
    <row r="21" spans="1:6">
      <c r="B21" s="97"/>
      <c r="C21" s="86" t="s">
        <v>1101</v>
      </c>
    </row>
    <row r="22" spans="1:6">
      <c r="B22" s="97"/>
    </row>
    <row r="23" spans="1:6">
      <c r="A23" s="86" t="s">
        <v>1102</v>
      </c>
      <c r="B23" s="97"/>
      <c r="C23" s="86" t="s">
        <v>1103</v>
      </c>
      <c r="F23" s="86">
        <v>300</v>
      </c>
    </row>
    <row r="24" spans="1:6">
      <c r="B24" s="97"/>
      <c r="C24" s="86" t="s">
        <v>1104</v>
      </c>
    </row>
    <row r="25" spans="1:6">
      <c r="B25" s="97"/>
    </row>
    <row r="26" spans="1:6">
      <c r="B26" s="98"/>
    </row>
    <row r="27" spans="1:6">
      <c r="B27" s="98"/>
    </row>
    <row r="28" spans="1:6">
      <c r="B28" s="98"/>
    </row>
    <row r="29" spans="1:6">
      <c r="B29" s="98"/>
    </row>
    <row r="30" spans="1:6">
      <c r="B30" s="97"/>
    </row>
    <row r="31" spans="1:6">
      <c r="B31" s="97"/>
    </row>
    <row r="32" spans="1:6">
      <c r="B32" s="97"/>
    </row>
    <row r="33" spans="1:6" ht="13.5" thickBot="1">
      <c r="F33" s="99">
        <f>SUM(F20:F32)</f>
        <v>300</v>
      </c>
    </row>
    <row r="34" spans="1:6" ht="13.5" thickTop="1"/>
    <row r="35" spans="1:6" ht="20.100000000000001" customHeight="1">
      <c r="A35" s="100" t="s">
        <v>1105</v>
      </c>
      <c r="B35" s="100" t="s">
        <v>1106</v>
      </c>
      <c r="C35" s="101"/>
      <c r="D35" s="101"/>
      <c r="E35" s="101"/>
      <c r="F35" s="101"/>
    </row>
    <row r="36" spans="1:6">
      <c r="A36" s="102" t="s">
        <v>11</v>
      </c>
    </row>
    <row r="37" spans="1:6">
      <c r="A37" s="86" t="s">
        <v>10</v>
      </c>
    </row>
    <row r="39" spans="1:6" ht="25.5">
      <c r="A39" s="109"/>
      <c r="D39" s="265" t="s">
        <v>2894</v>
      </c>
      <c r="E39" s="266"/>
      <c r="F39" s="267"/>
    </row>
    <row r="40" spans="1:6">
      <c r="C40" s="103"/>
    </row>
    <row r="41" spans="1:6">
      <c r="A41" s="104"/>
      <c r="B41" s="104"/>
    </row>
    <row r="43" spans="1:6">
      <c r="A43" s="105" t="s">
        <v>8</v>
      </c>
      <c r="D43" s="105" t="s">
        <v>7</v>
      </c>
      <c r="F43" s="106"/>
    </row>
    <row r="47" spans="1:6">
      <c r="A47" s="104"/>
      <c r="B47" s="104"/>
      <c r="D47" s="104"/>
      <c r="E47" s="104"/>
      <c r="F47" s="104"/>
    </row>
    <row r="48" spans="1:6" s="109" customFormat="1" ht="17.100000000000001" customHeight="1">
      <c r="A48" s="107" t="s">
        <v>4</v>
      </c>
      <c r="B48" s="108"/>
      <c r="D48" s="109" t="s">
        <v>3</v>
      </c>
    </row>
    <row r="49" spans="1:4">
      <c r="D49" s="86" t="s">
        <v>2</v>
      </c>
    </row>
    <row r="50" spans="1:4">
      <c r="A50" s="107" t="s">
        <v>2948</v>
      </c>
    </row>
    <row r="51" spans="1:4">
      <c r="D51" s="110" t="s">
        <v>1</v>
      </c>
    </row>
    <row r="52" spans="1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6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B01-000000000000}">
  <sheetPr codeName="Sheet64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993</v>
      </c>
    </row>
    <row r="10" spans="1:6">
      <c r="A10" s="1" t="s">
        <v>992</v>
      </c>
      <c r="D10" s="21" t="s">
        <v>21</v>
      </c>
      <c r="E10" s="21" t="s">
        <v>91</v>
      </c>
    </row>
    <row r="11" spans="1:6">
      <c r="D11" s="21" t="s">
        <v>19</v>
      </c>
      <c r="E11" s="21" t="s">
        <v>18</v>
      </c>
    </row>
    <row r="12" spans="1:6">
      <c r="D12" s="21" t="s">
        <v>17</v>
      </c>
      <c r="E12" s="20" t="s">
        <v>991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2:6">
      <c r="C19" s="14" t="s">
        <v>990</v>
      </c>
    </row>
    <row r="20" spans="2:6">
      <c r="C20" s="13"/>
    </row>
    <row r="21" spans="2:6">
      <c r="C21" s="13" t="s">
        <v>989</v>
      </c>
      <c r="F21" s="1">
        <v>600</v>
      </c>
    </row>
    <row r="22" spans="2:6">
      <c r="C22" s="1" t="s">
        <v>988</v>
      </c>
    </row>
    <row r="25" spans="2:6">
      <c r="C25" s="14" t="s">
        <v>987</v>
      </c>
    </row>
    <row r="26" spans="2:6">
      <c r="C26" s="13"/>
    </row>
    <row r="27" spans="2:6">
      <c r="C27" s="13" t="s">
        <v>986</v>
      </c>
      <c r="F27" s="1">
        <v>4250</v>
      </c>
    </row>
    <row r="29" spans="2:6">
      <c r="B29" s="8"/>
    </row>
    <row r="30" spans="2:6">
      <c r="B30" s="8"/>
    </row>
    <row r="31" spans="2:6">
      <c r="B31" s="8"/>
    </row>
    <row r="33" spans="1:6" ht="13.5" thickBot="1">
      <c r="F33" s="12">
        <f>SUM(F20:F32)</f>
        <v>4850</v>
      </c>
    </row>
    <row r="34" spans="1:6" ht="13.5" thickTop="1"/>
    <row r="35" spans="1:6" ht="20.100000000000001" customHeight="1">
      <c r="A35" s="10" t="s">
        <v>985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C01-000000000000}">
  <sheetPr codeName="Sheet157">
    <pageSetUpPr fitToPage="1"/>
  </sheetPr>
  <dimension ref="A1:G52"/>
  <sheetViews>
    <sheetView workbookViewId="0">
      <selection activeCell="G9" sqref="G9:G13"/>
    </sheetView>
  </sheetViews>
  <sheetFormatPr defaultRowHeight="12.75"/>
  <cols>
    <col min="1" max="1" width="14.7109375" style="131" customWidth="1"/>
    <col min="2" max="2" width="15.85546875" style="131" customWidth="1"/>
    <col min="3" max="3" width="23" style="131" customWidth="1"/>
    <col min="4" max="4" width="12.42578125" style="131" customWidth="1"/>
    <col min="5" max="5" width="12" style="131" customWidth="1"/>
    <col min="6" max="6" width="13" style="131" customWidth="1"/>
    <col min="7" max="7" width="9.140625" style="131"/>
    <col min="8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1481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1090</v>
      </c>
      <c r="E9" s="131" t="s">
        <v>1219</v>
      </c>
    </row>
    <row r="10" spans="1:6">
      <c r="A10" s="131" t="s">
        <v>1164</v>
      </c>
      <c r="D10" s="132" t="s">
        <v>1162</v>
      </c>
      <c r="E10" s="133" t="s">
        <v>1212</v>
      </c>
    </row>
    <row r="11" spans="1:6">
      <c r="A11" s="131" t="s">
        <v>1165</v>
      </c>
      <c r="D11" s="132" t="s">
        <v>1163</v>
      </c>
      <c r="E11" s="132" t="s">
        <v>1094</v>
      </c>
    </row>
    <row r="12" spans="1:6">
      <c r="A12" s="131" t="s">
        <v>1166</v>
      </c>
      <c r="D12" s="132" t="s">
        <v>1096</v>
      </c>
      <c r="E12" s="132" t="s">
        <v>1220</v>
      </c>
    </row>
    <row r="13" spans="1:6">
      <c r="A13" s="131" t="s">
        <v>1167</v>
      </c>
    </row>
    <row r="14" spans="1:6">
      <c r="A14" s="131" t="s">
        <v>1168</v>
      </c>
    </row>
    <row r="16" spans="1:6" s="95" customFormat="1" ht="20.100000000000001" customHeight="1">
      <c r="A16" s="90" t="s">
        <v>1097</v>
      </c>
      <c r="B16" s="91" t="s">
        <v>1098</v>
      </c>
      <c r="C16" s="92" t="s">
        <v>14</v>
      </c>
      <c r="D16" s="90"/>
      <c r="E16" s="93"/>
      <c r="F16" s="94" t="s">
        <v>13</v>
      </c>
    </row>
    <row r="18" spans="1:6">
      <c r="B18" s="134"/>
      <c r="C18" s="110" t="s">
        <v>1215</v>
      </c>
    </row>
    <row r="19" spans="1:6">
      <c r="C19" s="110" t="s">
        <v>1216</v>
      </c>
    </row>
    <row r="21" spans="1:6">
      <c r="A21" s="158" t="s">
        <v>1213</v>
      </c>
      <c r="B21" s="134" t="s">
        <v>1214</v>
      </c>
      <c r="C21" s="131" t="s">
        <v>1217</v>
      </c>
      <c r="F21" s="131">
        <v>2298.06</v>
      </c>
    </row>
    <row r="22" spans="1:6">
      <c r="B22" s="135"/>
    </row>
    <row r="23" spans="1:6">
      <c r="A23" s="140"/>
      <c r="B23" s="135"/>
    </row>
    <row r="24" spans="1:6">
      <c r="B24" s="135"/>
    </row>
    <row r="25" spans="1:6">
      <c r="B25" s="135"/>
    </row>
    <row r="26" spans="1:6">
      <c r="B26" s="136"/>
    </row>
    <row r="27" spans="1:6">
      <c r="B27" s="136"/>
    </row>
    <row r="28" spans="1:6">
      <c r="B28" s="136"/>
    </row>
    <row r="29" spans="1:6">
      <c r="B29" s="136"/>
    </row>
    <row r="30" spans="1:6">
      <c r="B30" s="135"/>
    </row>
    <row r="31" spans="1:6">
      <c r="B31" s="135"/>
    </row>
    <row r="32" spans="1:6">
      <c r="B32" s="135"/>
    </row>
    <row r="33" spans="1:7" ht="13.5" thickBot="1">
      <c r="F33" s="137">
        <f>SUM(F20:F32)</f>
        <v>2298.06</v>
      </c>
    </row>
    <row r="34" spans="1:7" ht="13.5" thickTop="1"/>
    <row r="35" spans="1:7" ht="20.100000000000001" customHeight="1">
      <c r="A35" s="138" t="s">
        <v>1105</v>
      </c>
      <c r="B35" s="138" t="s">
        <v>1218</v>
      </c>
      <c r="C35" s="139"/>
      <c r="D35" s="139"/>
      <c r="E35" s="139"/>
      <c r="F35" s="139"/>
    </row>
    <row r="36" spans="1:7">
      <c r="A36" s="140" t="s">
        <v>11</v>
      </c>
    </row>
    <row r="37" spans="1:7">
      <c r="A37" s="131" t="s">
        <v>10</v>
      </c>
    </row>
    <row r="39" spans="1:7" ht="25.5">
      <c r="A39" s="147"/>
      <c r="D39" s="265" t="s">
        <v>2894</v>
      </c>
      <c r="E39" s="266"/>
      <c r="F39" s="267"/>
    </row>
    <row r="40" spans="1:7">
      <c r="C40" s="141"/>
    </row>
    <row r="41" spans="1:7">
      <c r="A41" s="142"/>
      <c r="B41" s="142"/>
    </row>
    <row r="43" spans="1:7">
      <c r="A43" s="143" t="s">
        <v>8</v>
      </c>
      <c r="D43" s="143" t="s">
        <v>7</v>
      </c>
      <c r="F43" s="144"/>
    </row>
    <row r="47" spans="1:7">
      <c r="A47" s="142"/>
      <c r="B47" s="142"/>
      <c r="D47" s="142"/>
      <c r="E47" s="142"/>
      <c r="F47" s="142"/>
    </row>
    <row r="48" spans="1:7" s="109" customFormat="1" ht="17.100000000000001" customHeight="1">
      <c r="A48" s="145" t="s">
        <v>4</v>
      </c>
      <c r="B48" s="146"/>
      <c r="C48" s="147"/>
      <c r="D48" s="147" t="s">
        <v>3</v>
      </c>
      <c r="E48" s="147"/>
      <c r="F48" s="147"/>
      <c r="G48" s="147"/>
    </row>
    <row r="49" spans="1:4">
      <c r="D49" s="131" t="s">
        <v>2</v>
      </c>
    </row>
    <row r="50" spans="1:4">
      <c r="A50" s="145" t="s">
        <v>2948</v>
      </c>
    </row>
    <row r="51" spans="1:4">
      <c r="D51" s="110" t="s">
        <v>1</v>
      </c>
    </row>
    <row r="52" spans="1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6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D01-000000000000}">
  <sheetPr codeName="Sheet128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817</v>
      </c>
    </row>
    <row r="10" spans="1:6">
      <c r="A10" s="1" t="s">
        <v>792</v>
      </c>
      <c r="D10" s="21" t="s">
        <v>21</v>
      </c>
      <c r="E10" s="21" t="s">
        <v>816</v>
      </c>
    </row>
    <row r="11" spans="1:6">
      <c r="A11" s="1" t="s">
        <v>49</v>
      </c>
      <c r="D11" s="21" t="s">
        <v>19</v>
      </c>
      <c r="E11" s="21" t="s">
        <v>18</v>
      </c>
    </row>
    <row r="12" spans="1:6">
      <c r="D12" s="21" t="s">
        <v>17</v>
      </c>
      <c r="E12" s="21" t="s">
        <v>815</v>
      </c>
    </row>
    <row r="16" spans="1:6" s="15" customFormat="1" ht="20.100000000000001" customHeight="1">
      <c r="A16" s="18" t="s">
        <v>15</v>
      </c>
      <c r="B16" s="18"/>
      <c r="C16" s="19" t="s">
        <v>14</v>
      </c>
      <c r="D16" s="18"/>
      <c r="E16" s="17"/>
      <c r="F16" s="16" t="s">
        <v>13</v>
      </c>
    </row>
    <row r="19" spans="2:6">
      <c r="C19" s="14" t="s">
        <v>814</v>
      </c>
    </row>
    <row r="20" spans="2:6">
      <c r="C20" s="14" t="s">
        <v>813</v>
      </c>
    </row>
    <row r="23" spans="2:6">
      <c r="C23" s="1" t="s">
        <v>37</v>
      </c>
    </row>
    <row r="25" spans="2:6">
      <c r="B25" s="8" t="s">
        <v>43</v>
      </c>
      <c r="C25" s="1" t="s">
        <v>812</v>
      </c>
      <c r="F25" s="1">
        <v>1530</v>
      </c>
    </row>
    <row r="26" spans="2:6">
      <c r="B26" s="8" t="s">
        <v>191</v>
      </c>
      <c r="C26" s="1" t="s">
        <v>34</v>
      </c>
      <c r="F26" s="1">
        <v>1000</v>
      </c>
    </row>
    <row r="27" spans="2:6">
      <c r="B27" s="8" t="s">
        <v>811</v>
      </c>
      <c r="C27" s="1" t="s">
        <v>32</v>
      </c>
      <c r="F27" s="1">
        <v>2000</v>
      </c>
    </row>
    <row r="28" spans="2:6">
      <c r="B28" s="8"/>
    </row>
    <row r="29" spans="2:6">
      <c r="B29" s="8"/>
    </row>
    <row r="30" spans="2:6">
      <c r="B30" s="8"/>
    </row>
    <row r="31" spans="2:6">
      <c r="B31" s="8"/>
    </row>
    <row r="33" spans="1:6" ht="13.5" thickBot="1">
      <c r="F33" s="12">
        <f>SUM(F20:F32)</f>
        <v>4530</v>
      </c>
    </row>
    <row r="34" spans="1:6" ht="13.5" thickTop="1"/>
    <row r="35" spans="1:6" ht="20.100000000000001" customHeight="1">
      <c r="A35" s="10" t="s">
        <v>810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E01-000000000000}">
  <sheetPr codeName="Sheet111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" t="s">
        <v>1061</v>
      </c>
    </row>
    <row r="10" spans="1:6">
      <c r="A10" s="1" t="s">
        <v>1060</v>
      </c>
      <c r="D10" s="21" t="s">
        <v>21</v>
      </c>
      <c r="E10" s="21" t="s">
        <v>489</v>
      </c>
    </row>
    <row r="11" spans="1:6">
      <c r="A11" s="1" t="s">
        <v>1059</v>
      </c>
      <c r="D11" s="21" t="s">
        <v>19</v>
      </c>
      <c r="E11" s="21" t="s">
        <v>18</v>
      </c>
    </row>
    <row r="12" spans="1:6">
      <c r="A12" s="1" t="s">
        <v>1058</v>
      </c>
      <c r="D12" s="21" t="s">
        <v>17</v>
      </c>
      <c r="E12" s="21" t="s">
        <v>1057</v>
      </c>
    </row>
    <row r="13" spans="1:6">
      <c r="A13" s="1" t="s">
        <v>1056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20" spans="1:6">
      <c r="C20" s="13"/>
    </row>
    <row r="21" spans="1:6">
      <c r="C21" s="13"/>
    </row>
    <row r="22" spans="1:6">
      <c r="A22" s="1" t="s">
        <v>1055</v>
      </c>
      <c r="C22" s="1" t="s">
        <v>1054</v>
      </c>
      <c r="F22" s="1">
        <v>60</v>
      </c>
    </row>
    <row r="26" spans="1:6">
      <c r="C26" s="13"/>
    </row>
    <row r="27" spans="1:6">
      <c r="C27" s="13"/>
    </row>
    <row r="29" spans="1:6">
      <c r="B29" s="8"/>
    </row>
    <row r="30" spans="1:6">
      <c r="B30" s="8"/>
    </row>
    <row r="31" spans="1:6">
      <c r="B31" s="8"/>
    </row>
    <row r="33" spans="1:6" ht="13.5" thickBot="1">
      <c r="F33" s="12">
        <f>SUM(F20:F32)</f>
        <v>60</v>
      </c>
    </row>
    <row r="34" spans="1:6" ht="13.5" thickTop="1"/>
    <row r="35" spans="1:6" ht="20.100000000000001" customHeight="1">
      <c r="A35" s="10" t="s">
        <v>1053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F01-000000000000}">
  <sheetPr codeName="Sheet186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5703125" style="111" customWidth="1"/>
    <col min="2" max="2" width="14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26" t="s">
        <v>2594</v>
      </c>
    </row>
    <row r="10" spans="1:6">
      <c r="A10" s="111" t="s">
        <v>1493</v>
      </c>
      <c r="D10" s="112" t="s">
        <v>1180</v>
      </c>
      <c r="E10" s="160" t="s">
        <v>2582</v>
      </c>
    </row>
    <row r="11" spans="1:6">
      <c r="A11" s="111" t="s">
        <v>1494</v>
      </c>
      <c r="D11" s="112" t="s">
        <v>1181</v>
      </c>
      <c r="E11" s="160" t="s">
        <v>1094</v>
      </c>
    </row>
    <row r="12" spans="1:6">
      <c r="A12" s="111" t="s">
        <v>1495</v>
      </c>
      <c r="D12" s="112" t="s">
        <v>1182</v>
      </c>
      <c r="E12" s="160" t="s">
        <v>2595</v>
      </c>
    </row>
    <row r="13" spans="1:6">
      <c r="A13" s="111" t="s">
        <v>1496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/>
    </row>
    <row r="19" spans="1:6">
      <c r="A19" s="116" t="s">
        <v>2592</v>
      </c>
      <c r="B19" s="241" t="s">
        <v>2596</v>
      </c>
      <c r="C19" s="111" t="s">
        <v>2597</v>
      </c>
      <c r="F19" s="111">
        <v>2500</v>
      </c>
    </row>
    <row r="20" spans="1:6">
      <c r="A20" s="116"/>
      <c r="B20" s="116"/>
      <c r="C20" s="111" t="s">
        <v>2598</v>
      </c>
    </row>
    <row r="21" spans="1:6">
      <c r="B21" s="169"/>
    </row>
    <row r="22" spans="1:6">
      <c r="A22" s="116"/>
      <c r="B22" s="116"/>
    </row>
    <row r="24" spans="1:6">
      <c r="A24" s="148"/>
      <c r="B24" s="157"/>
    </row>
    <row r="25" spans="1:6">
      <c r="F25" s="149"/>
    </row>
    <row r="27" spans="1:6">
      <c r="A27" s="115"/>
      <c r="B27" s="121"/>
      <c r="F27" s="149"/>
    </row>
    <row r="29" spans="1:6">
      <c r="A29" s="115"/>
      <c r="B29" s="121"/>
      <c r="F29" s="149"/>
    </row>
    <row r="33" spans="1:6" ht="13.5" thickBot="1">
      <c r="F33" s="127">
        <f>SUM(F20:F32)</f>
        <v>0</v>
      </c>
    </row>
    <row r="34" spans="1:6" ht="13.5" thickTop="1"/>
    <row r="35" spans="1:6" ht="20.100000000000001" customHeight="1">
      <c r="A35" s="118" t="s">
        <v>204</v>
      </c>
      <c r="B35" s="118" t="s">
        <v>1492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6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001-000000000000}">
  <sheetPr codeName="Sheet411">
    <pageSetUpPr fitToPage="1"/>
  </sheetPr>
  <dimension ref="A1:F56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3573</v>
      </c>
      <c r="F9" s="111"/>
    </row>
    <row r="10" spans="1:6">
      <c r="A10" s="111" t="s">
        <v>3575</v>
      </c>
      <c r="B10" s="111"/>
      <c r="C10" s="111"/>
      <c r="D10" s="112" t="s">
        <v>1162</v>
      </c>
      <c r="E10" s="123" t="s">
        <v>3567</v>
      </c>
      <c r="F10" s="111"/>
    </row>
    <row r="11" spans="1:6">
      <c r="A11" s="111" t="s">
        <v>3576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1308</v>
      </c>
      <c r="B12" s="111"/>
      <c r="C12" s="111"/>
      <c r="D12" s="112" t="s">
        <v>1135</v>
      </c>
      <c r="E12" s="112" t="s">
        <v>3574</v>
      </c>
      <c r="F12" s="111"/>
    </row>
    <row r="13" spans="1:6">
      <c r="A13" s="111" t="s">
        <v>3577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11"/>
      <c r="B18" s="111"/>
      <c r="C18" s="2" t="s">
        <v>3578</v>
      </c>
      <c r="D18" s="111"/>
      <c r="E18" s="111"/>
      <c r="F18" s="111"/>
    </row>
    <row r="19" spans="1:6">
      <c r="A19" s="111"/>
      <c r="B19" s="111"/>
      <c r="C19" s="111"/>
      <c r="D19" s="111"/>
      <c r="E19" s="111"/>
      <c r="F19" s="111"/>
    </row>
    <row r="20" spans="1:6">
      <c r="A20" s="116" t="s">
        <v>3579</v>
      </c>
      <c r="B20" s="116" t="s">
        <v>3580</v>
      </c>
      <c r="C20" s="111" t="s">
        <v>3581</v>
      </c>
      <c r="D20" s="111"/>
      <c r="E20" s="111"/>
      <c r="F20" s="111">
        <v>567</v>
      </c>
    </row>
    <row r="21" spans="1:6">
      <c r="A21" s="116"/>
      <c r="B21" s="116"/>
      <c r="C21" s="111"/>
      <c r="D21" s="111"/>
      <c r="E21" s="111"/>
      <c r="F21" s="111"/>
    </row>
    <row r="22" spans="1:6">
      <c r="C22" s="111"/>
      <c r="D22" s="111"/>
      <c r="E22" s="111"/>
      <c r="F22" s="111"/>
    </row>
    <row r="23" spans="1:6">
      <c r="C23" s="2"/>
      <c r="D23" s="111"/>
      <c r="E23" s="111"/>
      <c r="F23" s="111"/>
    </row>
    <row r="24" spans="1:6">
      <c r="C24" s="2"/>
      <c r="D24" s="111"/>
      <c r="E24" s="111"/>
      <c r="F24" s="111"/>
    </row>
    <row r="25" spans="1:6">
      <c r="A25" s="116"/>
      <c r="B25" s="121"/>
      <c r="C25" s="2"/>
      <c r="D25" s="111"/>
      <c r="E25" s="111"/>
      <c r="F25" s="111"/>
    </row>
    <row r="26" spans="1:6">
      <c r="A26" s="116"/>
      <c r="B26" s="121"/>
      <c r="C26" s="111"/>
      <c r="D26" s="111"/>
      <c r="E26" s="111"/>
      <c r="F26" s="111"/>
    </row>
    <row r="27" spans="1:6">
      <c r="A27" s="116"/>
      <c r="B27" s="121"/>
      <c r="C27" s="111"/>
      <c r="D27" s="111"/>
      <c r="E27" s="111"/>
      <c r="F27" s="111"/>
    </row>
    <row r="28" spans="1:6">
      <c r="A28" s="116"/>
      <c r="B28" s="121"/>
      <c r="C28" s="111"/>
      <c r="D28" s="111"/>
      <c r="E28" s="111"/>
      <c r="F28" s="111"/>
    </row>
    <row r="29" spans="1:6">
      <c r="A29" s="116"/>
      <c r="B29" s="120"/>
      <c r="C29" s="111"/>
      <c r="D29" s="111"/>
      <c r="E29" s="111"/>
      <c r="F29" s="111"/>
    </row>
    <row r="30" spans="1:6">
      <c r="A30" s="116"/>
      <c r="B30" s="120"/>
      <c r="C30" s="111"/>
      <c r="D30" s="111"/>
      <c r="E30" s="111"/>
      <c r="F30" s="111"/>
    </row>
    <row r="31" spans="1:6">
      <c r="A31" s="159"/>
      <c r="B31" s="120"/>
      <c r="C31" s="111"/>
      <c r="D31" s="111"/>
      <c r="E31" s="111"/>
      <c r="F31" s="111"/>
    </row>
    <row r="32" spans="1:6">
      <c r="A32" s="159"/>
      <c r="B32" s="120"/>
      <c r="C32" s="111"/>
      <c r="D32" s="111"/>
      <c r="E32" s="111"/>
      <c r="F32" s="111"/>
    </row>
    <row r="33" spans="1:6">
      <c r="A33" s="252"/>
      <c r="B33" s="120"/>
      <c r="C33" s="111"/>
      <c r="D33" s="111"/>
      <c r="E33" s="111"/>
      <c r="F33" s="111"/>
    </row>
    <row r="34" spans="1:6">
      <c r="A34" s="148"/>
      <c r="B34" s="111"/>
      <c r="C34" s="111"/>
      <c r="D34" s="111"/>
      <c r="E34" s="111"/>
    </row>
    <row r="35" spans="1:6" ht="13.5" thickBot="1">
      <c r="A35" s="111"/>
      <c r="B35" s="111"/>
      <c r="C35" s="111"/>
      <c r="D35" s="111"/>
      <c r="E35" s="111"/>
      <c r="F35" s="117">
        <f>SUM(F20:F34)</f>
        <v>567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Five Hundred Sixty-Seven and NO/100 -----------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B44" s="111"/>
      <c r="C44" s="111"/>
      <c r="D44" s="111"/>
      <c r="E44" s="111"/>
      <c r="F44" s="111"/>
    </row>
    <row r="45" spans="1:6">
      <c r="A45" s="123" t="s">
        <v>8</v>
      </c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101-000000000000}">
  <sheetPr codeName="Sheet412">
    <pageSetUpPr fitToPage="1"/>
  </sheetPr>
  <dimension ref="A1:G56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3528</v>
      </c>
      <c r="F9" s="111"/>
    </row>
    <row r="10" spans="1:6">
      <c r="A10" s="111" t="s">
        <v>3530</v>
      </c>
      <c r="B10" s="111"/>
      <c r="C10" s="111"/>
      <c r="D10" s="112" t="s">
        <v>1162</v>
      </c>
      <c r="E10" s="123" t="s">
        <v>3517</v>
      </c>
      <c r="F10" s="111"/>
    </row>
    <row r="11" spans="1:6">
      <c r="A11" s="111" t="s">
        <v>3531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3532</v>
      </c>
      <c r="B12" s="111"/>
      <c r="C12" s="111"/>
      <c r="D12" s="112" t="s">
        <v>1135</v>
      </c>
      <c r="E12" s="112" t="s">
        <v>3529</v>
      </c>
      <c r="F12" s="111"/>
    </row>
    <row r="13" spans="1:6">
      <c r="A13" s="111" t="s">
        <v>1336</v>
      </c>
      <c r="B13" s="111"/>
      <c r="C13" s="111"/>
      <c r="D13" s="111"/>
      <c r="E13" s="111"/>
      <c r="F13" s="111"/>
    </row>
    <row r="14" spans="1:6">
      <c r="A14" s="111" t="s">
        <v>1287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1"/>
      <c r="B18" s="111"/>
      <c r="C18" s="2" t="s">
        <v>3416</v>
      </c>
      <c r="D18" s="111"/>
      <c r="E18" s="111"/>
      <c r="F18" s="111"/>
    </row>
    <row r="19" spans="1:7">
      <c r="A19" s="116"/>
      <c r="B19" s="116"/>
      <c r="C19" s="120"/>
      <c r="D19" s="111"/>
      <c r="E19" s="111"/>
      <c r="F19" s="111"/>
      <c r="G19" s="111"/>
    </row>
    <row r="20" spans="1:7">
      <c r="A20" s="116" t="s">
        <v>3515</v>
      </c>
      <c r="B20" s="116" t="s">
        <v>3533</v>
      </c>
      <c r="C20" s="111" t="s">
        <v>3534</v>
      </c>
      <c r="D20" s="111"/>
      <c r="E20" s="111"/>
      <c r="F20" s="111">
        <v>300</v>
      </c>
      <c r="G20" s="111"/>
    </row>
    <row r="21" spans="1:7">
      <c r="A21" s="116"/>
      <c r="B21" s="120"/>
      <c r="C21" s="111"/>
      <c r="F21" s="111"/>
      <c r="G21" s="111"/>
    </row>
    <row r="22" spans="1:7">
      <c r="A22" s="116"/>
      <c r="B22" s="116"/>
      <c r="C22" s="120"/>
      <c r="D22" s="111"/>
      <c r="E22" s="111"/>
      <c r="F22" s="111"/>
      <c r="G22" s="111"/>
    </row>
    <row r="23" spans="1:7">
      <c r="A23" s="116"/>
      <c r="B23" s="116"/>
      <c r="C23" s="120"/>
      <c r="D23" s="111"/>
      <c r="E23" s="111"/>
      <c r="F23" s="111"/>
      <c r="G23" s="111"/>
    </row>
    <row r="24" spans="1:7">
      <c r="A24" s="116"/>
      <c r="B24" s="116"/>
      <c r="C24" s="120"/>
      <c r="D24" s="111"/>
      <c r="E24" s="111"/>
      <c r="F24" s="111"/>
      <c r="G24" s="111"/>
    </row>
    <row r="25" spans="1:7">
      <c r="A25" s="116"/>
      <c r="B25" s="116"/>
      <c r="C25" s="111"/>
      <c r="D25" s="111"/>
      <c r="E25" s="111"/>
      <c r="F25" s="111"/>
      <c r="G25" s="111"/>
    </row>
    <row r="26" spans="1:7">
      <c r="A26" s="116"/>
      <c r="B26" s="120"/>
      <c r="C26" s="111"/>
      <c r="D26" s="111"/>
      <c r="E26" s="111"/>
      <c r="F26" s="111"/>
      <c r="G26" s="111"/>
    </row>
    <row r="27" spans="1:7">
      <c r="A27" s="116"/>
      <c r="B27" s="120"/>
      <c r="C27" s="111"/>
      <c r="D27" s="111"/>
      <c r="E27" s="111"/>
      <c r="F27" s="111"/>
      <c r="G27" s="111"/>
    </row>
    <row r="28" spans="1:7">
      <c r="A28" s="116"/>
      <c r="B28" s="120"/>
      <c r="C28" s="111"/>
      <c r="D28" s="111"/>
      <c r="E28" s="111"/>
      <c r="F28" s="111"/>
      <c r="G28" s="111"/>
    </row>
    <row r="29" spans="1:7">
      <c r="A29" s="116"/>
      <c r="B29" s="120"/>
      <c r="C29" s="111"/>
      <c r="D29" s="111"/>
      <c r="E29" s="111"/>
      <c r="F29" s="111"/>
      <c r="G29" s="111"/>
    </row>
    <row r="30" spans="1:7">
      <c r="A30" s="116"/>
      <c r="B30" s="120"/>
      <c r="C30" s="111"/>
      <c r="D30" s="111"/>
      <c r="E30" s="111"/>
      <c r="F30" s="111"/>
      <c r="G30" s="111"/>
    </row>
    <row r="31" spans="1:7">
      <c r="A31" s="116"/>
      <c r="B31" s="120"/>
      <c r="C31" s="111"/>
      <c r="D31" s="111"/>
      <c r="E31" s="111"/>
      <c r="F31" s="111"/>
      <c r="G31" s="111"/>
    </row>
    <row r="32" spans="1:7">
      <c r="A32" s="116"/>
      <c r="B32" s="120"/>
      <c r="C32" s="111"/>
      <c r="D32" s="111"/>
      <c r="E32" s="111"/>
      <c r="F32" s="111"/>
      <c r="G32" s="111"/>
    </row>
    <row r="33" spans="1:7">
      <c r="A33" s="116"/>
      <c r="B33" s="120"/>
      <c r="C33" s="111"/>
      <c r="D33" s="111"/>
      <c r="E33" s="111"/>
      <c r="F33" s="111"/>
      <c r="G33" s="111"/>
    </row>
    <row r="34" spans="1:7">
      <c r="A34" s="111"/>
      <c r="B34" s="111"/>
      <c r="C34" s="111"/>
      <c r="D34" s="111"/>
      <c r="E34" s="111"/>
      <c r="G34" s="111"/>
    </row>
    <row r="35" spans="1:7" ht="13.5" thickBot="1">
      <c r="A35" s="111"/>
      <c r="B35" s="111"/>
      <c r="C35" s="111"/>
      <c r="D35" s="111"/>
      <c r="E35" s="111"/>
      <c r="F35" s="117">
        <f>SUM(F18:F34)</f>
        <v>300</v>
      </c>
      <c r="G35" s="111"/>
    </row>
    <row r="36" spans="1:7" ht="13.5" thickTop="1">
      <c r="A36" s="111"/>
      <c r="B36" s="111"/>
      <c r="C36" s="111"/>
      <c r="D36" s="111"/>
      <c r="E36" s="111"/>
      <c r="F36" s="111"/>
      <c r="G36" s="111"/>
    </row>
    <row r="37" spans="1:7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Three Hundred and NO/100 -----------</v>
      </c>
      <c r="C37" s="119"/>
      <c r="D37" s="119"/>
      <c r="E37" s="119"/>
      <c r="F37" s="119"/>
      <c r="G37" s="111"/>
    </row>
    <row r="38" spans="1:7">
      <c r="A38" s="120" t="s">
        <v>11</v>
      </c>
      <c r="B38" s="111"/>
      <c r="C38" s="111"/>
      <c r="D38" s="111"/>
      <c r="E38" s="111"/>
      <c r="F38" s="111"/>
    </row>
    <row r="39" spans="1:7" ht="25.5">
      <c r="A39" s="111" t="s">
        <v>10</v>
      </c>
      <c r="B39" s="111"/>
      <c r="C39" s="111"/>
      <c r="D39" s="265" t="s">
        <v>2894</v>
      </c>
      <c r="E39" s="266"/>
      <c r="F39" s="267"/>
    </row>
    <row r="40" spans="1:7">
      <c r="A40" s="111"/>
      <c r="B40" s="111"/>
      <c r="C40" s="111"/>
      <c r="D40" s="111"/>
      <c r="E40" s="111"/>
      <c r="F40" s="111"/>
    </row>
    <row r="41" spans="1:7">
      <c r="A41" s="126"/>
      <c r="B41" s="111"/>
      <c r="C41" s="111"/>
    </row>
    <row r="42" spans="1:7">
      <c r="A42" s="111"/>
      <c r="B42" s="111"/>
      <c r="C42" s="121"/>
      <c r="D42" s="111"/>
      <c r="E42" s="111"/>
      <c r="F42" s="111"/>
    </row>
    <row r="43" spans="1:7">
      <c r="A43" s="122"/>
      <c r="B43" s="122"/>
      <c r="C43" s="111"/>
      <c r="D43" s="111"/>
      <c r="E43" s="111"/>
      <c r="F43" s="111"/>
    </row>
    <row r="44" spans="1:7">
      <c r="B44" s="111"/>
      <c r="C44" s="111"/>
      <c r="D44" s="111"/>
      <c r="E44" s="111"/>
      <c r="F44" s="111"/>
    </row>
    <row r="45" spans="1:7">
      <c r="A45" s="123" t="s">
        <v>8</v>
      </c>
      <c r="C45" s="111"/>
      <c r="D45" s="123" t="s">
        <v>7</v>
      </c>
      <c r="E45" s="111"/>
      <c r="F45" s="124"/>
    </row>
    <row r="46" spans="1:7">
      <c r="A46" s="111"/>
      <c r="B46" s="111"/>
      <c r="C46" s="111"/>
      <c r="D46" s="111"/>
      <c r="E46" s="111"/>
      <c r="F46" s="111"/>
    </row>
    <row r="47" spans="1:7">
      <c r="A47" s="111"/>
      <c r="B47" s="111"/>
      <c r="C47" s="111"/>
      <c r="D47" s="111"/>
      <c r="E47" s="111"/>
      <c r="F47" s="111"/>
    </row>
    <row r="48" spans="1:7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201-000000000000}">
  <sheetPr codeName="Sheet18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22.42578125" style="111" customWidth="1"/>
    <col min="4" max="4" width="13.140625" style="111" customWidth="1"/>
    <col min="5" max="5" width="10.570312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26" t="s">
        <v>1560</v>
      </c>
    </row>
    <row r="10" spans="1:6">
      <c r="A10" s="111" t="s">
        <v>1493</v>
      </c>
      <c r="D10" s="112" t="s">
        <v>1180</v>
      </c>
      <c r="E10" s="160" t="s">
        <v>1548</v>
      </c>
    </row>
    <row r="11" spans="1:6">
      <c r="A11" s="111" t="s">
        <v>1494</v>
      </c>
      <c r="D11" s="112" t="s">
        <v>1181</v>
      </c>
      <c r="E11" s="160" t="s">
        <v>1094</v>
      </c>
    </row>
    <row r="12" spans="1:6">
      <c r="A12" s="111" t="s">
        <v>1495</v>
      </c>
      <c r="D12" s="112" t="s">
        <v>1182</v>
      </c>
      <c r="E12" s="160" t="s">
        <v>1561</v>
      </c>
    </row>
    <row r="13" spans="1:6">
      <c r="A13" s="111" t="s">
        <v>1496</v>
      </c>
    </row>
    <row r="16" spans="1:6" s="15" customFormat="1" ht="20.100000000000001" customHeight="1">
      <c r="A16" s="18" t="s">
        <v>1193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1562</v>
      </c>
    </row>
    <row r="19" spans="1:6">
      <c r="B19" s="116"/>
    </row>
    <row r="20" spans="1:6">
      <c r="A20" s="116" t="s">
        <v>1558</v>
      </c>
      <c r="B20" s="116" t="s">
        <v>1563</v>
      </c>
      <c r="C20" s="111" t="s">
        <v>1497</v>
      </c>
      <c r="F20" s="111">
        <v>100432</v>
      </c>
    </row>
    <row r="21" spans="1:6">
      <c r="B21" s="169"/>
      <c r="C21" s="111" t="s">
        <v>1498</v>
      </c>
    </row>
    <row r="22" spans="1:6">
      <c r="A22" s="116"/>
      <c r="B22" s="116"/>
      <c r="C22" s="111" t="s">
        <v>1499</v>
      </c>
    </row>
    <row r="23" spans="1:6">
      <c r="C23" s="111" t="s">
        <v>1501</v>
      </c>
    </row>
    <row r="24" spans="1:6">
      <c r="A24" s="148"/>
      <c r="B24" s="157"/>
    </row>
    <row r="25" spans="1:6">
      <c r="C25" s="111" t="s">
        <v>1500</v>
      </c>
      <c r="F25" s="149">
        <v>-5021.6000000000004</v>
      </c>
    </row>
    <row r="27" spans="1:6">
      <c r="A27" s="115"/>
      <c r="B27" s="121"/>
      <c r="C27" s="111" t="s">
        <v>1559</v>
      </c>
      <c r="F27" s="149">
        <v>-38149.620000000003</v>
      </c>
    </row>
    <row r="29" spans="1:6">
      <c r="A29" s="115"/>
      <c r="B29" s="121"/>
      <c r="F29" s="149"/>
    </row>
    <row r="33" spans="1:6" ht="13.5" thickBot="1">
      <c r="F33" s="127">
        <f>SUM(F20:F32)</f>
        <v>57260.779999999992</v>
      </c>
    </row>
    <row r="34" spans="1:6" ht="13.5" thickTop="1"/>
    <row r="35" spans="1:6" ht="20.100000000000001" customHeight="1">
      <c r="A35" s="118" t="s">
        <v>204</v>
      </c>
      <c r="B35" s="118" t="s">
        <v>1564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A40" s="111" t="s">
        <v>52</v>
      </c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 t="s">
        <v>51</v>
      </c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73B95-3EAD-402F-8C7D-7474745D21FA}">
  <sheetPr codeName="Sheet576">
    <pageSetUpPr fitToPage="1"/>
  </sheetPr>
  <dimension ref="A1:N54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85546875" style="111" customWidth="1"/>
    <col min="2" max="2" width="15.42578125" style="111" customWidth="1"/>
    <col min="3" max="3" width="1.28515625" style="111" customWidth="1"/>
    <col min="4" max="4" width="23" style="111" customWidth="1"/>
    <col min="5" max="5" width="0.85546875" style="111" customWidth="1"/>
    <col min="6" max="6" width="12" style="111" customWidth="1"/>
    <col min="7" max="7" width="9.7109375" style="111" customWidth="1"/>
    <col min="8" max="8" width="13.140625" style="111" customWidth="1"/>
    <col min="9" max="16384" width="9.140625" style="111"/>
  </cols>
  <sheetData>
    <row r="1" spans="1:14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4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4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4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4">
      <c r="A8" s="111" t="s">
        <v>24</v>
      </c>
      <c r="F8" s="22" t="s">
        <v>23</v>
      </c>
    </row>
    <row r="9" spans="1:14">
      <c r="F9" s="112" t="s">
        <v>1239</v>
      </c>
      <c r="G9" s="111" t="s">
        <v>6012</v>
      </c>
    </row>
    <row r="10" spans="1:14">
      <c r="A10" s="111" t="s">
        <v>6014</v>
      </c>
      <c r="F10" s="112" t="s">
        <v>1124</v>
      </c>
      <c r="G10" s="111" t="s">
        <v>6013</v>
      </c>
      <c r="K10" s="111" t="s">
        <v>6012</v>
      </c>
      <c r="L10" s="111">
        <v>43713</v>
      </c>
      <c r="N10" s="111" t="s">
        <v>1270</v>
      </c>
    </row>
    <row r="11" spans="1:14">
      <c r="A11" s="111" t="s">
        <v>6015</v>
      </c>
      <c r="F11" s="112" t="s">
        <v>1125</v>
      </c>
      <c r="G11" s="111" t="s">
        <v>1094</v>
      </c>
    </row>
    <row r="12" spans="1:14">
      <c r="A12" s="111" t="s">
        <v>6016</v>
      </c>
      <c r="F12" s="112" t="s">
        <v>1096</v>
      </c>
      <c r="G12" s="111" t="s">
        <v>1270</v>
      </c>
    </row>
    <row r="13" spans="1:14">
      <c r="A13" s="111" t="s">
        <v>6017</v>
      </c>
      <c r="G13" s="131"/>
    </row>
    <row r="14" spans="1:14">
      <c r="K14" s="111" t="s">
        <v>5017</v>
      </c>
      <c r="N14" s="111">
        <v>300</v>
      </c>
    </row>
    <row r="15" spans="1:14">
      <c r="K15" s="111" t="s">
        <v>5018</v>
      </c>
    </row>
    <row r="16" spans="1:14" s="15" customFormat="1" ht="20.100000000000001" customHeight="1">
      <c r="A16" s="18" t="s">
        <v>1113</v>
      </c>
      <c r="B16" s="18" t="s">
        <v>1114</v>
      </c>
      <c r="C16" s="18"/>
      <c r="D16" s="19" t="s">
        <v>14</v>
      </c>
      <c r="E16" s="19"/>
      <c r="F16" s="18"/>
      <c r="G16" s="17"/>
      <c r="H16" s="16" t="s">
        <v>13</v>
      </c>
      <c r="K16" s="111" t="s">
        <v>5022</v>
      </c>
      <c r="L16" s="111"/>
      <c r="M16" s="111"/>
      <c r="N16" s="111"/>
    </row>
    <row r="17" spans="1:14">
      <c r="A17" s="153"/>
    </row>
    <row r="18" spans="1:14">
      <c r="A18" s="116"/>
      <c r="B18" s="116"/>
      <c r="C18" s="116"/>
      <c r="D18" s="2" t="s">
        <v>6018</v>
      </c>
      <c r="K18" s="111" t="s">
        <v>5019</v>
      </c>
      <c r="N18" s="111">
        <v>700</v>
      </c>
    </row>
    <row r="19" spans="1:14">
      <c r="K19" s="111" t="s">
        <v>5020</v>
      </c>
    </row>
    <row r="20" spans="1:14">
      <c r="A20" s="116" t="s">
        <v>6019</v>
      </c>
      <c r="B20" s="116"/>
      <c r="C20" s="116"/>
      <c r="D20" s="111" t="s">
        <v>6020</v>
      </c>
      <c r="H20" s="111">
        <v>4000</v>
      </c>
    </row>
    <row r="21" spans="1:14">
      <c r="D21" s="111" t="s">
        <v>1697</v>
      </c>
      <c r="H21" s="111">
        <v>30</v>
      </c>
      <c r="K21" s="111" t="s">
        <v>5021</v>
      </c>
      <c r="N21" s="111">
        <v>80</v>
      </c>
    </row>
    <row r="22" spans="1:14">
      <c r="D22" s="111" t="s">
        <v>6021</v>
      </c>
      <c r="H22" s="111">
        <v>0.01</v>
      </c>
    </row>
    <row r="23" spans="1:14">
      <c r="A23" s="116"/>
      <c r="B23" s="116"/>
      <c r="C23" s="116"/>
    </row>
    <row r="25" spans="1:14">
      <c r="A25" s="116"/>
      <c r="B25" s="116"/>
      <c r="C25" s="116"/>
    </row>
    <row r="26" spans="1:14">
      <c r="A26" s="116"/>
      <c r="B26" s="116"/>
      <c r="C26" s="116"/>
      <c r="D26" s="167"/>
    </row>
    <row r="27" spans="1:14">
      <c r="A27" s="116"/>
      <c r="B27" s="116"/>
      <c r="C27" s="116"/>
      <c r="D27" s="167"/>
    </row>
    <row r="30" spans="1:14">
      <c r="A30" s="153"/>
    </row>
    <row r="31" spans="1:14">
      <c r="A31" s="153"/>
    </row>
    <row r="32" spans="1:14">
      <c r="A32" s="153"/>
    </row>
    <row r="33" spans="1:8">
      <c r="A33" s="153"/>
    </row>
    <row r="34" spans="1:8">
      <c r="A34" s="153"/>
    </row>
    <row r="35" spans="1:8" ht="13.5" thickBot="1">
      <c r="A35" s="153"/>
      <c r="H35" s="117">
        <f>SUM(H18:H33)</f>
        <v>4030.01</v>
      </c>
    </row>
    <row r="36" spans="1:8" ht="13.5" thickTop="1">
      <c r="A36" s="153"/>
    </row>
    <row r="37" spans="1:8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Four Thousand Thirty and 1/100 -----------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</row>
    <row r="39" spans="1:8" ht="25.5">
      <c r="A39" s="126" t="s">
        <v>10</v>
      </c>
      <c r="F39" s="265" t="s">
        <v>2894</v>
      </c>
      <c r="G39" s="266"/>
      <c r="H39" s="267"/>
    </row>
    <row r="42" spans="1:8">
      <c r="D42" s="121"/>
      <c r="E42" s="121"/>
    </row>
    <row r="43" spans="1:8">
      <c r="A43" s="122"/>
      <c r="B43" s="122"/>
      <c r="C43" s="433"/>
    </row>
    <row r="45" spans="1:8">
      <c r="A45" s="123" t="s">
        <v>8</v>
      </c>
      <c r="D45" s="123" t="s">
        <v>8</v>
      </c>
      <c r="F45" s="123" t="s">
        <v>7</v>
      </c>
      <c r="H45" s="124"/>
    </row>
    <row r="49" spans="1:8">
      <c r="A49" s="122"/>
      <c r="B49" s="122"/>
      <c r="C49" s="433"/>
      <c r="D49" s="122"/>
      <c r="F49" s="122"/>
      <c r="G49" s="122"/>
      <c r="H49" s="122"/>
    </row>
    <row r="50" spans="1:8" s="126" customFormat="1" ht="17.100000000000001" customHeight="1">
      <c r="A50" s="151" t="s">
        <v>2948</v>
      </c>
      <c r="B50" s="125"/>
      <c r="C50" s="125"/>
      <c r="D50" s="151" t="s">
        <v>103</v>
      </c>
      <c r="F50" s="126" t="s">
        <v>3</v>
      </c>
    </row>
    <row r="51" spans="1:8">
      <c r="F51" s="111" t="s">
        <v>2</v>
      </c>
    </row>
    <row r="53" spans="1:8">
      <c r="F53" s="2" t="s">
        <v>1</v>
      </c>
    </row>
    <row r="54" spans="1:8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6" orientation="portrait" r:id="rId1"/>
  <headerFooter alignWithMargins="0"/>
</worksheet>
</file>

<file path=xl/worksheets/sheet6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301-000000000000}">
  <sheetPr codeName="Sheet72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27.42578125" style="1" customWidth="1"/>
    <col min="2" max="2" width="2.42578125" style="1" customWidth="1"/>
    <col min="3" max="3" width="23" style="1" customWidth="1"/>
    <col min="4" max="4" width="10.85546875" style="1" customWidth="1"/>
    <col min="5" max="5" width="10.140625" style="1" customWidth="1"/>
    <col min="6" max="6" width="13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29" t="s">
        <v>25</v>
      </c>
      <c r="B2" s="529"/>
      <c r="C2" s="529"/>
      <c r="D2" s="529"/>
      <c r="E2" s="529"/>
      <c r="F2" s="529"/>
    </row>
    <row r="3" spans="1:6">
      <c r="A3" s="529" t="s">
        <v>1480</v>
      </c>
      <c r="B3" s="529"/>
      <c r="C3" s="529"/>
      <c r="D3" s="529"/>
      <c r="E3" s="529"/>
      <c r="F3" s="529"/>
    </row>
    <row r="4" spans="1:6">
      <c r="A4" s="529" t="s">
        <v>1481</v>
      </c>
      <c r="B4" s="529"/>
      <c r="C4" s="529"/>
      <c r="D4" s="529"/>
      <c r="E4" s="529"/>
      <c r="F4" s="529"/>
    </row>
    <row r="8" spans="1:6">
      <c r="A8" s="1" t="s">
        <v>24</v>
      </c>
      <c r="D8" s="22" t="s">
        <v>23</v>
      </c>
    </row>
    <row r="9" spans="1:6">
      <c r="D9" s="21" t="s">
        <v>22</v>
      </c>
      <c r="E9" s="13" t="s">
        <v>967</v>
      </c>
    </row>
    <row r="10" spans="1:6">
      <c r="A10" s="1" t="s">
        <v>966</v>
      </c>
      <c r="D10" s="21" t="s">
        <v>21</v>
      </c>
      <c r="E10" s="21" t="s">
        <v>960</v>
      </c>
    </row>
    <row r="11" spans="1:6">
      <c r="D11" s="21" t="s">
        <v>19</v>
      </c>
      <c r="E11" s="21" t="s">
        <v>18</v>
      </c>
    </row>
    <row r="12" spans="1:6">
      <c r="D12" s="21" t="s">
        <v>17</v>
      </c>
      <c r="E12" s="20" t="s">
        <v>965</v>
      </c>
    </row>
    <row r="16" spans="1:6" s="85" customFormat="1" ht="20.100000000000001" customHeight="1">
      <c r="A16" s="53" t="s">
        <v>15</v>
      </c>
      <c r="B16" s="53"/>
      <c r="C16" s="54" t="s">
        <v>14</v>
      </c>
      <c r="D16" s="53"/>
      <c r="E16" s="52"/>
      <c r="F16" s="51" t="s">
        <v>13</v>
      </c>
    </row>
    <row r="19" spans="1:6">
      <c r="C19" s="14" t="s">
        <v>957</v>
      </c>
    </row>
    <row r="20" spans="1:6">
      <c r="C20" s="14" t="s">
        <v>956</v>
      </c>
    </row>
    <row r="21" spans="1:6">
      <c r="C21" s="14" t="s">
        <v>955</v>
      </c>
    </row>
    <row r="23" spans="1:6">
      <c r="A23" s="13"/>
      <c r="C23" s="13"/>
    </row>
    <row r="24" spans="1:6">
      <c r="C24" s="13" t="s">
        <v>964</v>
      </c>
      <c r="F24" s="1">
        <v>1800</v>
      </c>
    </row>
    <row r="25" spans="1:6">
      <c r="C25" s="13"/>
    </row>
    <row r="26" spans="1:6">
      <c r="C26" s="13"/>
    </row>
    <row r="27" spans="1:6">
      <c r="C27" s="13"/>
    </row>
    <row r="29" spans="1:6">
      <c r="B29" s="8"/>
    </row>
    <row r="30" spans="1:6">
      <c r="B30" s="8"/>
    </row>
    <row r="31" spans="1:6">
      <c r="B31" s="8"/>
    </row>
    <row r="33" spans="1:6" ht="13.5" thickBot="1">
      <c r="F33" s="12">
        <f>SUM(F20:F32)</f>
        <v>1800</v>
      </c>
    </row>
    <row r="34" spans="1:6" ht="13.5" thickTop="1"/>
    <row r="35" spans="1:6" ht="20.100000000000001" customHeight="1">
      <c r="A35" s="11" t="s">
        <v>963</v>
      </c>
      <c r="B35" s="10"/>
      <c r="C35" s="9"/>
      <c r="D35" s="9"/>
      <c r="E35" s="9"/>
      <c r="F35" s="9"/>
    </row>
    <row r="36" spans="1:6">
      <c r="A36" s="8"/>
    </row>
    <row r="37" spans="1:6">
      <c r="A37" s="1" t="s">
        <v>10</v>
      </c>
    </row>
    <row r="39" spans="1:6" ht="25.5">
      <c r="A39" s="3"/>
      <c r="D39" s="265" t="s">
        <v>2894</v>
      </c>
      <c r="E39" s="266"/>
      <c r="F39" s="267"/>
    </row>
    <row r="40" spans="1:6">
      <c r="A40" s="1" t="s">
        <v>9</v>
      </c>
      <c r="C40" s="7"/>
    </row>
    <row r="43" spans="1:6">
      <c r="A43" s="6" t="s">
        <v>8</v>
      </c>
      <c r="D43" s="6" t="s">
        <v>7</v>
      </c>
      <c r="F43" s="5"/>
    </row>
    <row r="47" spans="1:6">
      <c r="A47" s="1" t="s">
        <v>6</v>
      </c>
      <c r="D47" s="1" t="s">
        <v>5</v>
      </c>
    </row>
    <row r="48" spans="1:6" s="3" customFormat="1" ht="17.100000000000001" customHeight="1">
      <c r="A48" s="4" t="s">
        <v>4</v>
      </c>
      <c r="B48" s="4"/>
      <c r="D48" s="3" t="s">
        <v>3</v>
      </c>
    </row>
    <row r="49" spans="1:4">
      <c r="D49" s="1" t="s">
        <v>2</v>
      </c>
    </row>
    <row r="50" spans="1:4">
      <c r="A50" s="273" t="s">
        <v>2948</v>
      </c>
    </row>
    <row r="51" spans="1:4">
      <c r="D51" s="84" t="s">
        <v>1</v>
      </c>
    </row>
    <row r="52" spans="1:4">
      <c r="D52" s="84" t="s">
        <v>0</v>
      </c>
    </row>
  </sheetData>
  <mergeCells count="4">
    <mergeCell ref="A4:F4"/>
    <mergeCell ref="A1:F1"/>
    <mergeCell ref="A2:F2"/>
    <mergeCell ref="A3:F3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F401-000000000000}">
  <sheetPr codeName="Sheet158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6.42578125" style="111" customWidth="1"/>
    <col min="2" max="2" width="14.5703125" style="111" customWidth="1"/>
    <col min="3" max="3" width="22.28515625" style="111" customWidth="1"/>
    <col min="4" max="4" width="12" style="111" customWidth="1"/>
    <col min="5" max="5" width="10.5703125" style="111" customWidth="1"/>
    <col min="6" max="6" width="13.710937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2060</v>
      </c>
    </row>
    <row r="10" spans="1:6">
      <c r="A10" s="111" t="s">
        <v>1141</v>
      </c>
      <c r="D10" s="112" t="s">
        <v>1091</v>
      </c>
      <c r="E10" s="123" t="s">
        <v>2022</v>
      </c>
    </row>
    <row r="11" spans="1:6">
      <c r="A11" s="111" t="s">
        <v>1142</v>
      </c>
      <c r="D11" s="112" t="s">
        <v>1093</v>
      </c>
      <c r="E11" s="112" t="s">
        <v>2023</v>
      </c>
    </row>
    <row r="12" spans="1:6">
      <c r="A12" s="111" t="s">
        <v>1143</v>
      </c>
      <c r="D12" s="112" t="s">
        <v>1096</v>
      </c>
      <c r="E12" s="112" t="s">
        <v>2061</v>
      </c>
    </row>
    <row r="14" spans="1:6">
      <c r="A14" s="111" t="s">
        <v>1144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29"/>
      <c r="F16" s="16" t="s">
        <v>13</v>
      </c>
    </row>
    <row r="17" spans="1:6">
      <c r="A17" s="153"/>
    </row>
    <row r="18" spans="1:6">
      <c r="A18" s="154"/>
      <c r="C18" s="2" t="s">
        <v>2062</v>
      </c>
    </row>
    <row r="19" spans="1:6">
      <c r="A19" s="121"/>
      <c r="C19" s="2"/>
    </row>
    <row r="20" spans="1:6">
      <c r="A20" s="116" t="s">
        <v>2026</v>
      </c>
      <c r="B20" s="111" t="s">
        <v>2063</v>
      </c>
      <c r="C20" s="111" t="s">
        <v>2064</v>
      </c>
      <c r="F20" s="111">
        <v>70</v>
      </c>
    </row>
    <row r="21" spans="1:6">
      <c r="A21" s="154"/>
      <c r="C21" s="2"/>
    </row>
    <row r="22" spans="1:6">
      <c r="A22" s="154"/>
      <c r="C22" s="2"/>
    </row>
    <row r="23" spans="1:6">
      <c r="A23" s="121"/>
      <c r="C23" s="2"/>
    </row>
    <row r="24" spans="1:6">
      <c r="A24" s="116"/>
    </row>
    <row r="27" spans="1:6">
      <c r="A27" s="154"/>
    </row>
    <row r="28" spans="1:6">
      <c r="A28" s="153"/>
    </row>
    <row r="29" spans="1:6">
      <c r="A29" s="153"/>
    </row>
    <row r="30" spans="1:6">
      <c r="A30" s="153"/>
    </row>
    <row r="31" spans="1:6">
      <c r="A31" s="153"/>
    </row>
    <row r="32" spans="1:6">
      <c r="A32" s="153"/>
    </row>
    <row r="33" spans="1:6" ht="13.5" thickBot="1">
      <c r="A33" s="153"/>
      <c r="F33" s="117">
        <f>SUM(F20:F32)</f>
        <v>70</v>
      </c>
    </row>
    <row r="34" spans="1:6" ht="13.5" thickTop="1">
      <c r="A34" s="153"/>
    </row>
    <row r="35" spans="1:6" ht="20.100000000000001" customHeight="1">
      <c r="A35" s="118" t="s">
        <v>204</v>
      </c>
      <c r="B35" s="118" t="s">
        <v>2065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2" spans="1:6">
      <c r="A42" s="122"/>
      <c r="B42" s="122"/>
    </row>
    <row r="43" spans="1:6">
      <c r="A43" s="123" t="s">
        <v>8</v>
      </c>
      <c r="D43" s="123" t="s">
        <v>7</v>
      </c>
      <c r="F43" s="121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55"/>
  <dimension ref="A1:H53"/>
  <sheetViews>
    <sheetView workbookViewId="0">
      <selection activeCell="G9" sqref="G9:G13"/>
    </sheetView>
  </sheetViews>
  <sheetFormatPr defaultRowHeight="12.75"/>
  <cols>
    <col min="1" max="1" width="16" style="111" customWidth="1"/>
    <col min="2" max="2" width="13.42578125" style="111" customWidth="1"/>
    <col min="3" max="3" width="1.7109375" style="111" customWidth="1"/>
    <col min="4" max="4" width="21" style="111" customWidth="1"/>
    <col min="5" max="5" width="1.140625" style="111" customWidth="1"/>
    <col min="6" max="6" width="16.42578125" style="111" customWidth="1"/>
    <col min="7" max="7" width="9" style="111" customWidth="1"/>
    <col min="8" max="8" width="13.28515625" style="11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A9" s="111" t="s">
        <v>4242</v>
      </c>
      <c r="F9" s="112" t="s">
        <v>1110</v>
      </c>
      <c r="G9" s="111" t="s">
        <v>4240</v>
      </c>
    </row>
    <row r="10" spans="1:8">
      <c r="A10" s="111" t="s">
        <v>4243</v>
      </c>
      <c r="F10" s="112" t="s">
        <v>1685</v>
      </c>
      <c r="G10" s="111" t="s">
        <v>4241</v>
      </c>
    </row>
    <row r="11" spans="1:8">
      <c r="A11" s="111" t="s">
        <v>4244</v>
      </c>
      <c r="F11" s="112" t="s">
        <v>1163</v>
      </c>
      <c r="G11" s="111" t="s">
        <v>1094</v>
      </c>
    </row>
    <row r="12" spans="1:8">
      <c r="A12" s="111" t="s">
        <v>4245</v>
      </c>
      <c r="F12" s="112" t="s">
        <v>1188</v>
      </c>
      <c r="G12" s="120" t="s">
        <v>1270</v>
      </c>
    </row>
    <row r="16" spans="1:8" s="15" customFormat="1" ht="20.100000000000001" customHeight="1">
      <c r="A16" s="129" t="s">
        <v>1097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73"/>
    </row>
    <row r="18" spans="1:8">
      <c r="D18" s="2" t="s">
        <v>4246</v>
      </c>
      <c r="E18" s="2"/>
    </row>
    <row r="19" spans="1:8">
      <c r="A19" s="173"/>
      <c r="D19" s="2"/>
      <c r="E19" s="2"/>
    </row>
    <row r="20" spans="1:8">
      <c r="A20" s="116" t="s">
        <v>4204</v>
      </c>
      <c r="B20" s="116" t="s">
        <v>4247</v>
      </c>
      <c r="C20" s="116"/>
      <c r="D20" s="111" t="s">
        <v>4248</v>
      </c>
      <c r="H20" s="111">
        <f>5885*0.1349</f>
        <v>793.88649999999996</v>
      </c>
    </row>
    <row r="21" spans="1:8">
      <c r="A21" s="116"/>
      <c r="B21" s="116"/>
      <c r="C21" s="120"/>
      <c r="D21" s="111" t="s">
        <v>4249</v>
      </c>
    </row>
    <row r="22" spans="1:8">
      <c r="A22" s="116"/>
      <c r="B22" s="121"/>
      <c r="C22" s="121"/>
    </row>
    <row r="23" spans="1:8">
      <c r="A23" s="116" t="s">
        <v>4250</v>
      </c>
      <c r="B23" s="121" t="s">
        <v>4251</v>
      </c>
      <c r="D23" s="111" t="s">
        <v>4252</v>
      </c>
      <c r="H23" s="111">
        <f>18596.6*0.1349</f>
        <v>2508.6813399999996</v>
      </c>
    </row>
    <row r="24" spans="1:8">
      <c r="D24" s="111" t="s">
        <v>4253</v>
      </c>
    </row>
    <row r="25" spans="1:8">
      <c r="A25" s="174"/>
      <c r="B25" s="121"/>
      <c r="C25" s="121"/>
    </row>
    <row r="26" spans="1:8">
      <c r="D26" s="111" t="s">
        <v>1697</v>
      </c>
      <c r="H26" s="111">
        <v>6</v>
      </c>
    </row>
    <row r="28" spans="1:8">
      <c r="D28" s="111" t="s">
        <v>1814</v>
      </c>
      <c r="E28" s="2"/>
      <c r="H28" s="111">
        <f>H26*6%</f>
        <v>0.36</v>
      </c>
    </row>
    <row r="29" spans="1:8">
      <c r="A29" s="116"/>
      <c r="B29" s="121"/>
      <c r="C29" s="121"/>
    </row>
    <row r="30" spans="1:8">
      <c r="A30" s="116"/>
      <c r="B30" s="121"/>
      <c r="C30" s="121"/>
    </row>
    <row r="31" spans="1:8">
      <c r="A31" s="121"/>
    </row>
    <row r="32" spans="1:8">
      <c r="A32" s="174"/>
      <c r="B32" s="120"/>
      <c r="C32" s="120"/>
    </row>
    <row r="33" spans="1:8">
      <c r="A33" s="7"/>
      <c r="B33" s="1"/>
      <c r="C33" s="1"/>
      <c r="D33" s="1"/>
      <c r="E33" s="1"/>
      <c r="F33" s="1"/>
      <c r="G33" s="1"/>
      <c r="H33" s="1"/>
    </row>
    <row r="34" spans="1:8" ht="13.5" thickBot="1">
      <c r="A34" s="173"/>
      <c r="H34" s="117">
        <f>SUM(H19:H33)</f>
        <v>3308.9278399999998</v>
      </c>
    </row>
    <row r="35" spans="1:8" ht="13.5" thickTop="1">
      <c r="A35" s="173"/>
    </row>
    <row r="36" spans="1:8" ht="20.100000000000001" customHeight="1">
      <c r="A36" s="118" t="s">
        <v>1686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Thousand Three Hundred Eight and 93/100 -----------</v>
      </c>
      <c r="C36" s="202"/>
      <c r="D36" s="119"/>
      <c r="E36" s="119"/>
      <c r="F36" s="261"/>
      <c r="G36" s="261"/>
      <c r="H36" s="261"/>
    </row>
    <row r="37" spans="1:8">
      <c r="A37" s="120"/>
    </row>
    <row r="38" spans="1:8" ht="25.5">
      <c r="A38" s="111" t="s">
        <v>10</v>
      </c>
      <c r="F38" s="265" t="s">
        <v>2894</v>
      </c>
      <c r="G38" s="266"/>
      <c r="H38" s="267"/>
    </row>
    <row r="39" spans="1:8">
      <c r="A39" s="1"/>
      <c r="F39" s="309"/>
      <c r="G39" s="309"/>
      <c r="H39" s="309"/>
    </row>
    <row r="40" spans="1:8">
      <c r="F40" s="310"/>
      <c r="G40" s="311"/>
      <c r="H40" s="311"/>
    </row>
    <row r="41" spans="1:8">
      <c r="A41" s="1"/>
      <c r="B41" s="1"/>
      <c r="C41" s="1"/>
    </row>
    <row r="42" spans="1:8">
      <c r="A42" s="122"/>
      <c r="B42" s="122"/>
    </row>
    <row r="44" spans="1:8">
      <c r="A44" s="111" t="s">
        <v>8</v>
      </c>
      <c r="D44" s="111" t="s">
        <v>8</v>
      </c>
      <c r="F44" s="123" t="s">
        <v>7</v>
      </c>
      <c r="H44" s="124"/>
    </row>
    <row r="47" spans="1:8">
      <c r="A47" s="1"/>
      <c r="D47" s="1"/>
    </row>
    <row r="48" spans="1:8">
      <c r="A48" s="122" t="s">
        <v>51</v>
      </c>
      <c r="B48" s="122"/>
      <c r="D48" s="122" t="s">
        <v>51</v>
      </c>
      <c r="F48" s="122"/>
      <c r="G48" s="122"/>
      <c r="H48" s="122"/>
    </row>
    <row r="49" spans="1:8" s="3" customFormat="1" ht="17.100000000000001" customHeight="1">
      <c r="A49" s="111" t="s">
        <v>2948</v>
      </c>
      <c r="B49" s="125"/>
      <c r="C49" s="125"/>
      <c r="D49" s="111" t="s">
        <v>103</v>
      </c>
      <c r="E49" s="126"/>
      <c r="F49" s="126" t="s">
        <v>3</v>
      </c>
      <c r="G49" s="126"/>
      <c r="H49" s="126"/>
    </row>
    <row r="50" spans="1:8">
      <c r="F50" s="111" t="s">
        <v>2</v>
      </c>
    </row>
    <row r="52" spans="1:8">
      <c r="F52" s="2" t="s">
        <v>1</v>
      </c>
    </row>
    <row r="53" spans="1:8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5FD3-FA66-44F0-8560-DDCD33F010D8}">
  <sheetPr codeName="Sheet516">
    <pageSetUpPr fitToPage="1"/>
  </sheetPr>
  <dimension ref="A1:M58"/>
  <sheetViews>
    <sheetView topLeftCell="A4" zoomScaleNormal="100" workbookViewId="0">
      <selection activeCell="G9" sqref="G9:G13"/>
    </sheetView>
  </sheetViews>
  <sheetFormatPr defaultRowHeight="12.75"/>
  <cols>
    <col min="1" max="1" width="16" style="374" customWidth="1"/>
    <col min="2" max="2" width="13.42578125" style="374" customWidth="1"/>
    <col min="3" max="3" width="21" style="374" customWidth="1"/>
    <col min="4" max="4" width="12.42578125" style="374" customWidth="1"/>
    <col min="5" max="5" width="8.7109375" style="374" customWidth="1"/>
    <col min="6" max="6" width="13.28515625" style="374" customWidth="1"/>
    <col min="7" max="16384" width="9.140625" style="373"/>
  </cols>
  <sheetData>
    <row r="1" spans="1:12" ht="15">
      <c r="A1" s="534" t="s">
        <v>26</v>
      </c>
      <c r="B1" s="534"/>
      <c r="C1" s="534"/>
      <c r="D1" s="534"/>
      <c r="E1" s="534"/>
      <c r="F1" s="534"/>
    </row>
    <row r="2" spans="1:12">
      <c r="A2" s="535" t="s">
        <v>25</v>
      </c>
      <c r="B2" s="535"/>
      <c r="C2" s="535"/>
      <c r="D2" s="535"/>
      <c r="E2" s="535"/>
      <c r="F2" s="535"/>
    </row>
    <row r="3" spans="1:12">
      <c r="A3" s="535" t="s">
        <v>1480</v>
      </c>
      <c r="B3" s="535"/>
      <c r="C3" s="535"/>
      <c r="D3" s="535"/>
      <c r="E3" s="535"/>
      <c r="F3" s="535"/>
    </row>
    <row r="4" spans="1:12">
      <c r="A4" s="535" t="s">
        <v>1684</v>
      </c>
      <c r="B4" s="535"/>
      <c r="C4" s="535"/>
      <c r="D4" s="535"/>
      <c r="E4" s="535"/>
      <c r="F4" s="535"/>
    </row>
    <row r="8" spans="1:12">
      <c r="A8" s="374" t="s">
        <v>24</v>
      </c>
      <c r="D8" s="375" t="s">
        <v>23</v>
      </c>
    </row>
    <row r="9" spans="1:12">
      <c r="D9" s="376" t="s">
        <v>1110</v>
      </c>
      <c r="E9" s="111" t="s">
        <v>5260</v>
      </c>
    </row>
    <row r="10" spans="1:12">
      <c r="A10" s="131" t="s">
        <v>5262</v>
      </c>
      <c r="D10" s="376" t="s">
        <v>1685</v>
      </c>
      <c r="E10" s="112" t="s">
        <v>5220</v>
      </c>
    </row>
    <row r="11" spans="1:12">
      <c r="A11" s="131" t="s">
        <v>5263</v>
      </c>
      <c r="D11" s="376" t="s">
        <v>1163</v>
      </c>
      <c r="E11" s="112" t="s">
        <v>1094</v>
      </c>
    </row>
    <row r="12" spans="1:12">
      <c r="A12" s="131" t="s">
        <v>5264</v>
      </c>
      <c r="D12" s="376" t="s">
        <v>1188</v>
      </c>
      <c r="E12" s="112" t="s">
        <v>5261</v>
      </c>
    </row>
    <row r="13" spans="1:12">
      <c r="A13" s="131" t="s">
        <v>3028</v>
      </c>
      <c r="E13" s="111"/>
    </row>
    <row r="14" spans="1:12">
      <c r="A14" s="131" t="s">
        <v>5265</v>
      </c>
    </row>
    <row r="15" spans="1:12">
      <c r="I15" s="379" t="s">
        <v>4530</v>
      </c>
      <c r="J15" s="377"/>
      <c r="K15" s="377"/>
      <c r="L15" s="377"/>
    </row>
    <row r="16" spans="1:12" s="385" customFormat="1" ht="20.100000000000001" customHeight="1">
      <c r="A16" s="380" t="s">
        <v>1140</v>
      </c>
      <c r="B16" s="381" t="s">
        <v>1098</v>
      </c>
      <c r="C16" s="382" t="s">
        <v>14</v>
      </c>
      <c r="D16" s="380"/>
      <c r="E16" s="383"/>
      <c r="F16" s="384" t="s">
        <v>13</v>
      </c>
      <c r="I16" s="379"/>
      <c r="J16" s="377"/>
      <c r="K16" s="377"/>
      <c r="L16" s="377"/>
    </row>
    <row r="17" spans="1:13">
      <c r="A17" s="377"/>
      <c r="B17" s="377"/>
      <c r="C17" s="111"/>
      <c r="D17" s="111"/>
      <c r="E17" s="111"/>
      <c r="F17" s="111"/>
      <c r="I17" s="377" t="s">
        <v>2719</v>
      </c>
      <c r="J17" s="377"/>
      <c r="K17" s="377"/>
      <c r="L17" s="377">
        <v>1350</v>
      </c>
    </row>
    <row r="18" spans="1:13">
      <c r="A18" s="386"/>
      <c r="B18" s="387"/>
      <c r="C18" s="2" t="s">
        <v>5266</v>
      </c>
      <c r="D18" s="111"/>
      <c r="E18" s="111"/>
      <c r="F18" s="111"/>
      <c r="I18" s="377" t="s">
        <v>1583</v>
      </c>
      <c r="J18" s="377"/>
      <c r="K18" s="377"/>
      <c r="L18" s="377">
        <v>600</v>
      </c>
    </row>
    <row r="19" spans="1:13">
      <c r="A19" s="386"/>
      <c r="B19" s="387"/>
      <c r="C19" s="2"/>
      <c r="D19" s="111"/>
      <c r="E19" s="111"/>
      <c r="F19" s="111"/>
      <c r="G19" s="377"/>
      <c r="I19" s="377" t="s">
        <v>4518</v>
      </c>
      <c r="J19" s="377"/>
      <c r="K19" s="377"/>
      <c r="L19" s="377">
        <v>150</v>
      </c>
    </row>
    <row r="20" spans="1:13">
      <c r="A20" s="116" t="s">
        <v>5267</v>
      </c>
      <c r="B20" s="241" t="s">
        <v>5268</v>
      </c>
      <c r="C20" s="111" t="s">
        <v>5269</v>
      </c>
      <c r="D20" s="111"/>
      <c r="E20" s="111"/>
      <c r="F20" s="111">
        <v>5660.38</v>
      </c>
      <c r="G20" s="377"/>
      <c r="I20" s="377"/>
      <c r="J20" s="377"/>
      <c r="K20" s="377"/>
      <c r="L20" s="377"/>
    </row>
    <row r="21" spans="1:13">
      <c r="A21" s="112"/>
      <c r="B21" s="387"/>
      <c r="C21" s="111" t="s">
        <v>5270</v>
      </c>
      <c r="D21" s="111"/>
      <c r="E21" s="111"/>
      <c r="F21" s="111"/>
      <c r="G21" s="377"/>
      <c r="I21" s="377"/>
      <c r="J21" s="377"/>
      <c r="K21" s="377"/>
      <c r="L21" s="377"/>
    </row>
    <row r="22" spans="1:13">
      <c r="A22" s="143"/>
      <c r="B22" s="388"/>
      <c r="C22" s="111"/>
      <c r="D22" s="111"/>
      <c r="E22" s="111"/>
      <c r="F22" s="111"/>
      <c r="G22" s="377"/>
    </row>
    <row r="23" spans="1:13">
      <c r="A23" s="120"/>
      <c r="B23" s="387"/>
      <c r="C23" s="111" t="s">
        <v>5175</v>
      </c>
      <c r="D23" s="111"/>
      <c r="E23" s="111"/>
      <c r="F23" s="111">
        <f>F20*6%</f>
        <v>339.62279999999998</v>
      </c>
      <c r="G23" s="377"/>
      <c r="I23" s="2" t="s">
        <v>4622</v>
      </c>
      <c r="J23" s="111"/>
      <c r="K23" s="111"/>
      <c r="L23" s="111"/>
      <c r="M23" s="377"/>
    </row>
    <row r="24" spans="1:13">
      <c r="A24" s="111"/>
      <c r="B24" s="377"/>
      <c r="C24" s="111"/>
      <c r="D24" s="111"/>
      <c r="E24" s="111"/>
      <c r="F24" s="111"/>
      <c r="G24" s="377"/>
      <c r="I24" s="2"/>
      <c r="J24" s="111"/>
      <c r="K24" s="111"/>
      <c r="L24" s="111"/>
      <c r="M24" s="377"/>
    </row>
    <row r="25" spans="1:13">
      <c r="A25" s="377"/>
      <c r="B25" s="377"/>
      <c r="C25" s="2"/>
      <c r="D25" s="111"/>
      <c r="E25" s="111"/>
      <c r="F25" s="111"/>
      <c r="G25" s="377"/>
      <c r="I25" s="111" t="s">
        <v>2719</v>
      </c>
      <c r="J25" s="111"/>
      <c r="K25" s="111"/>
      <c r="L25" s="111">
        <v>810</v>
      </c>
      <c r="M25" s="377"/>
    </row>
    <row r="26" spans="1:13">
      <c r="A26" s="378"/>
      <c r="B26" s="377"/>
      <c r="C26" s="2"/>
      <c r="D26" s="111"/>
      <c r="E26" s="111"/>
      <c r="F26" s="111"/>
      <c r="G26" s="377"/>
      <c r="I26" s="111" t="s">
        <v>1583</v>
      </c>
      <c r="J26" s="111"/>
      <c r="K26" s="111"/>
      <c r="L26" s="111">
        <v>300</v>
      </c>
      <c r="M26" s="377"/>
    </row>
    <row r="27" spans="1:13">
      <c r="A27" s="111"/>
      <c r="B27" s="377"/>
      <c r="C27" s="111"/>
      <c r="D27" s="111"/>
      <c r="E27" s="111"/>
      <c r="F27" s="111"/>
      <c r="G27" s="377"/>
      <c r="I27" s="111" t="s">
        <v>4518</v>
      </c>
      <c r="J27" s="111"/>
      <c r="K27" s="111"/>
      <c r="L27" s="111">
        <v>100</v>
      </c>
      <c r="M27" s="377"/>
    </row>
    <row r="28" spans="1:13">
      <c r="A28" s="120"/>
      <c r="B28" s="378"/>
      <c r="C28" s="111"/>
      <c r="D28" s="377"/>
      <c r="E28" s="377"/>
      <c r="F28" s="377"/>
      <c r="G28" s="377"/>
      <c r="I28" s="111"/>
      <c r="J28" s="111"/>
      <c r="K28" s="111"/>
      <c r="L28" s="111"/>
      <c r="M28" s="377"/>
    </row>
    <row r="29" spans="1:13">
      <c r="A29" s="120"/>
      <c r="B29" s="377"/>
      <c r="C29" s="111"/>
      <c r="D29" s="377"/>
      <c r="E29" s="377"/>
      <c r="F29" s="377"/>
      <c r="I29" s="111"/>
      <c r="J29" s="111"/>
      <c r="K29" s="111"/>
      <c r="L29" s="111"/>
      <c r="M29" s="377"/>
    </row>
    <row r="30" spans="1:13">
      <c r="A30" s="111"/>
      <c r="C30" s="2"/>
    </row>
    <row r="31" spans="1:13">
      <c r="A31" s="111"/>
      <c r="C31" s="2"/>
    </row>
    <row r="32" spans="1:13">
      <c r="A32" s="111"/>
      <c r="C32" s="2"/>
    </row>
    <row r="33" spans="1:6">
      <c r="A33" s="120"/>
      <c r="C33" s="111"/>
    </row>
    <row r="34" spans="1:6">
      <c r="A34" s="111"/>
      <c r="C34" s="111"/>
    </row>
    <row r="35" spans="1:6">
      <c r="A35" s="120"/>
      <c r="C35" s="111"/>
    </row>
    <row r="36" spans="1:6">
      <c r="A36" s="120"/>
      <c r="C36" s="111"/>
    </row>
    <row r="37" spans="1:6">
      <c r="A37" s="120"/>
      <c r="C37" s="111"/>
    </row>
    <row r="38" spans="1:6">
      <c r="A38" s="391"/>
      <c r="F38" s="373"/>
    </row>
    <row r="39" spans="1:6" ht="13.5" thickBot="1">
      <c r="A39" s="391"/>
      <c r="F39" s="392">
        <f>SUM(F20:F37)</f>
        <v>6000.0028000000002</v>
      </c>
    </row>
    <row r="40" spans="1:6" ht="13.5" thickTop="1">
      <c r="A40" s="391"/>
    </row>
    <row r="41" spans="1:6" ht="21.75" customHeight="1">
      <c r="A41" s="393" t="s">
        <v>1686</v>
      </c>
      <c r="B41" s="394" t="str">
        <f>IF(OR(F39&gt;1000000,F39&lt;=0),"",IF(F39&lt;1000,"",IF(MOD(F39,1000000)&gt;=100000,INDEX(numbers,TRUNC(MOD(F39,1000000)/100000,0)+1)&amp;" Hundred","")&amp;IF(MOD(F39,100000)&gt;=20000," "&amp;INDEX(tens,TRUNC(MOD(F39,100000)/10000,0)+1)&amp;IF(MOD(MOD(F39,100000),10000)&gt;=1000,"-"&amp;INDEX(numbers,TRUNC(MOD(MOD(F39,100000),10000)/1000,0)+1),""),IF(MOD(F39,100000)&gt;=1000," "&amp;INDEX(numbers,TRUNC(MOD(F39,100000)/1000,0)+1),""))&amp;" Thousand") &amp; IF(F39&lt;1,"Zero Dollars",IF(MOD(F39,1000)&gt;=100," "&amp;INDEX(numbers,TRUNC(MOD(F39,1000)/100,0)+1)&amp;" Hundred","")&amp;IF(MOD(F39,100)&gt;=20," "&amp;INDEX(tens,TRUNC(MOD(F39,100)/10,0)+1)&amp;IF(MOD(MOD(F39,100),10)&gt;=1,"-"&amp;INDEX(numbers,TRUNC(MOD(MOD(F39,100),10),0)+1),""),IF(MOD(F39,100)&gt;=1," "&amp;INDEX(numbers,TRUNC(MOD(F39,100),0)+1),""))&amp;"") &amp; " and " &amp; IF(MOD(F39,1)&lt;0.005,"NO",ROUND(MOD(F39,1)*100,0)) &amp; "/100 -----------")</f>
        <v xml:space="preserve"> Six Thousand and NO/100 -----------</v>
      </c>
      <c r="C41" s="395"/>
      <c r="D41" s="395"/>
      <c r="E41" s="395"/>
      <c r="F41" s="395"/>
    </row>
    <row r="42" spans="1:6">
      <c r="A42" s="396"/>
    </row>
    <row r="43" spans="1:6" ht="25.5">
      <c r="A43" s="374" t="s">
        <v>10</v>
      </c>
      <c r="D43" s="397" t="s">
        <v>2894</v>
      </c>
      <c r="E43" s="398"/>
      <c r="F43" s="399"/>
    </row>
    <row r="44" spans="1:6">
      <c r="A44" s="400"/>
    </row>
    <row r="45" spans="1:6" s="407" customFormat="1" ht="17.100000000000001" customHeight="1">
      <c r="A45" s="374"/>
      <c r="B45" s="374"/>
      <c r="C45" s="374"/>
      <c r="D45" s="374"/>
      <c r="E45" s="374"/>
      <c r="F45" s="374"/>
    </row>
    <row r="46" spans="1:6">
      <c r="A46" s="374" t="s">
        <v>51</v>
      </c>
      <c r="C46" s="401"/>
    </row>
    <row r="47" spans="1:6">
      <c r="A47" s="402"/>
      <c r="B47" s="402"/>
    </row>
    <row r="48" spans="1:6">
      <c r="D48" s="403" t="s">
        <v>7</v>
      </c>
    </row>
    <row r="49" spans="1:6">
      <c r="A49" s="374" t="s">
        <v>8</v>
      </c>
      <c r="F49" s="404"/>
    </row>
    <row r="53" spans="1:6">
      <c r="A53" s="402" t="s">
        <v>51</v>
      </c>
      <c r="B53" s="402"/>
      <c r="D53" s="402"/>
      <c r="E53" s="402"/>
      <c r="F53" s="402"/>
    </row>
    <row r="54" spans="1:6">
      <c r="A54" s="405" t="s">
        <v>2948</v>
      </c>
      <c r="B54" s="406"/>
      <c r="C54" s="400"/>
      <c r="D54" s="400" t="s">
        <v>3</v>
      </c>
      <c r="E54" s="400"/>
      <c r="F54" s="400"/>
    </row>
    <row r="55" spans="1:6">
      <c r="A55" s="405"/>
      <c r="D55" s="374" t="s">
        <v>2</v>
      </c>
    </row>
    <row r="57" spans="1:6">
      <c r="D57" s="408" t="s">
        <v>1</v>
      </c>
    </row>
    <row r="58" spans="1:6">
      <c r="D58" s="408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142E-C4CC-4383-ACF4-27ADE3415223}">
  <sheetPr codeName="Sheet497">
    <pageSetUpPr fitToPage="1"/>
  </sheetPr>
  <dimension ref="A1:F59"/>
  <sheetViews>
    <sheetView zoomScaleNormal="100" workbookViewId="0">
      <selection activeCell="G9" sqref="G9:G13"/>
    </sheetView>
  </sheetViews>
  <sheetFormatPr defaultRowHeight="12.75"/>
  <cols>
    <col min="1" max="1" width="15.42578125" style="111" customWidth="1"/>
    <col min="2" max="2" width="12.42578125" style="111" customWidth="1"/>
    <col min="3" max="3" width="21" style="111" customWidth="1"/>
    <col min="4" max="4" width="16.42578125" style="111" customWidth="1"/>
    <col min="5" max="5" width="11.28515625" style="111" customWidth="1"/>
    <col min="6" max="6" width="13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1716</v>
      </c>
      <c r="E9" s="111" t="s">
        <v>5003</v>
      </c>
    </row>
    <row r="10" spans="1:6">
      <c r="A10" s="111" t="s">
        <v>5005</v>
      </c>
      <c r="D10" s="112" t="s">
        <v>1162</v>
      </c>
      <c r="E10" s="123" t="s">
        <v>5002</v>
      </c>
    </row>
    <row r="11" spans="1:6">
      <c r="A11" s="111" t="s">
        <v>5006</v>
      </c>
      <c r="D11" s="112" t="s">
        <v>1163</v>
      </c>
      <c r="E11" s="112" t="s">
        <v>1094</v>
      </c>
    </row>
    <row r="12" spans="1:6">
      <c r="A12" s="111" t="s">
        <v>567</v>
      </c>
      <c r="D12" s="112" t="s">
        <v>1096</v>
      </c>
      <c r="E12" s="112" t="s">
        <v>5004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8" spans="1:6">
      <c r="C18" s="2" t="s">
        <v>3657</v>
      </c>
    </row>
    <row r="20" spans="1:6">
      <c r="A20" s="116" t="s">
        <v>4979</v>
      </c>
      <c r="B20" s="116" t="s">
        <v>5007</v>
      </c>
      <c r="C20" s="111" t="s">
        <v>5008</v>
      </c>
      <c r="F20" s="111">
        <v>3000</v>
      </c>
    </row>
    <row r="22" spans="1:6">
      <c r="A22" s="116"/>
      <c r="B22" s="116"/>
    </row>
    <row r="23" spans="1:6">
      <c r="A23" s="116"/>
      <c r="B23" s="116"/>
    </row>
    <row r="24" spans="1:6">
      <c r="A24" s="116"/>
      <c r="B24" s="116"/>
    </row>
    <row r="25" spans="1:6">
      <c r="A25" s="116"/>
      <c r="B25" s="116"/>
    </row>
    <row r="26" spans="1:6">
      <c r="A26" s="116"/>
      <c r="B26" s="116"/>
    </row>
    <row r="27" spans="1:6">
      <c r="A27" s="116"/>
      <c r="B27" s="116"/>
    </row>
    <row r="28" spans="1:6">
      <c r="A28" s="116"/>
      <c r="B28" s="116"/>
    </row>
    <row r="29" spans="1:6">
      <c r="A29" s="116"/>
      <c r="B29" s="116"/>
    </row>
    <row r="30" spans="1:6">
      <c r="A30" s="116"/>
      <c r="B30" s="116"/>
    </row>
    <row r="31" spans="1:6">
      <c r="A31" s="116"/>
      <c r="B31" s="116"/>
      <c r="C31" s="2"/>
    </row>
    <row r="32" spans="1:6">
      <c r="A32" s="116"/>
      <c r="B32" s="116"/>
      <c r="C32" s="2"/>
    </row>
    <row r="34" spans="1:6">
      <c r="A34" s="116"/>
      <c r="B34" s="116"/>
    </row>
    <row r="35" spans="1:6">
      <c r="A35" s="116"/>
      <c r="B35" s="121"/>
    </row>
    <row r="36" spans="1:6">
      <c r="C36" s="2"/>
    </row>
    <row r="38" spans="1:6">
      <c r="A38" s="116"/>
      <c r="B38" s="121"/>
    </row>
    <row r="40" spans="1:6" ht="13.5" thickBot="1">
      <c r="F40" s="127">
        <f>SUM(F19:F39)</f>
        <v>3000</v>
      </c>
    </row>
    <row r="41" spans="1:6" ht="13.5" thickTop="1"/>
    <row r="42" spans="1:6" ht="20.100000000000001" customHeight="1">
      <c r="A42" s="118" t="s">
        <v>1717</v>
      </c>
      <c r="B42" s="202" t="str">
        <f>IF(OR(F40&gt;1000000,F40&lt;=0),"",IF(F40&lt;1000,"",IF(MOD(F40,1000000)&gt;=100000,INDEX(numbers,TRUNC(MOD(F40,1000000)/100000,0)+1)&amp;" Hundred","")&amp;IF(MOD(F40,100000)&gt;=20000," "&amp;INDEX(tens,TRUNC(MOD(F40,100000)/10000,0)+1)&amp;IF(MOD(MOD(F40,100000),10000)&gt;=1000,"-"&amp;INDEX(numbers,TRUNC(MOD(MOD(F40,100000),10000)/1000,0)+1),""),IF(MOD(F40,100000)&gt;=1000," "&amp;INDEX(numbers,TRUNC(MOD(F40,100000)/1000,0)+1),""))&amp;" Thousand") &amp; IF(F40&lt;1,"Zero Dollars",IF(MOD(F40,1000)&gt;=100," "&amp;INDEX(numbers,TRUNC(MOD(F40,1000)/100,0)+1)&amp;" Hundred","")&amp;IF(MOD(F40,100)&gt;=20," "&amp;INDEX(tens,TRUNC(MOD(F40,100)/10,0)+1)&amp;IF(MOD(MOD(F40,100),10)&gt;=1,"-"&amp;INDEX(numbers,TRUNC(MOD(MOD(F40,100),10),0)+1),""),IF(MOD(F40,100)&gt;=1," "&amp;INDEX(numbers,TRUNC(MOD(F40,100),0)+1),""))&amp;"") &amp; " and " &amp; IF(MOD(F40,1)&lt;0.005,"NO",ROUND(MOD(F40,1)*100,0)) &amp; "/100 -----------")</f>
        <v xml:space="preserve"> Three Thousand and NO/100 -----------</v>
      </c>
      <c r="C42" s="119"/>
      <c r="D42" s="263"/>
      <c r="E42" s="263"/>
      <c r="F42" s="263"/>
    </row>
    <row r="43" spans="1:6" ht="20.100000000000001" customHeight="1">
      <c r="A43" s="160"/>
      <c r="B43" s="151"/>
      <c r="C43" s="126"/>
      <c r="D43" s="263"/>
      <c r="E43" s="263"/>
      <c r="F43" s="263"/>
    </row>
    <row r="44" spans="1:6" ht="25.5">
      <c r="A44" s="269" t="s">
        <v>3060</v>
      </c>
      <c r="D44" s="265" t="s">
        <v>2894</v>
      </c>
      <c r="E44" s="266"/>
      <c r="F44" s="267"/>
    </row>
    <row r="45" spans="1:6">
      <c r="A45" s="123"/>
      <c r="D45" s="310"/>
      <c r="E45" s="311"/>
      <c r="F45" s="311"/>
    </row>
    <row r="46" spans="1:6">
      <c r="C46" s="121"/>
    </row>
    <row r="47" spans="1:6">
      <c r="A47" s="123"/>
      <c r="C47" s="121"/>
    </row>
    <row r="48" spans="1:6">
      <c r="A48" s="150"/>
      <c r="B48" s="122"/>
    </row>
    <row r="49" spans="1:6">
      <c r="A49" s="123"/>
    </row>
    <row r="50" spans="1:6">
      <c r="A50" s="123" t="s">
        <v>8</v>
      </c>
      <c r="D50" s="123" t="s">
        <v>7</v>
      </c>
      <c r="F50" s="124"/>
    </row>
    <row r="51" spans="1:6">
      <c r="A51" s="123"/>
    </row>
    <row r="52" spans="1:6">
      <c r="A52" s="123"/>
    </row>
    <row r="53" spans="1:6">
      <c r="A53" s="123"/>
    </row>
    <row r="54" spans="1:6">
      <c r="A54" s="150"/>
      <c r="B54" s="122"/>
      <c r="D54" s="122"/>
      <c r="E54" s="122"/>
      <c r="F54" s="122"/>
    </row>
    <row r="55" spans="1:6" s="126" customFormat="1" ht="17.100000000000001" customHeight="1">
      <c r="A55" s="123" t="s">
        <v>3441</v>
      </c>
      <c r="B55" s="125"/>
      <c r="D55" s="126" t="s">
        <v>3</v>
      </c>
    </row>
    <row r="56" spans="1:6">
      <c r="A56" s="123"/>
      <c r="D56" s="111" t="s">
        <v>2</v>
      </c>
    </row>
    <row r="57" spans="1:6">
      <c r="A57" s="123"/>
    </row>
    <row r="58" spans="1:6">
      <c r="D58" s="2" t="s">
        <v>1</v>
      </c>
    </row>
    <row r="59" spans="1:6">
      <c r="D59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1C0F3-DE31-4984-B2A8-0DD758E8C59B}">
  <sheetPr codeName="Sheet547">
    <pageSetUpPr fitToPage="1"/>
  </sheetPr>
  <dimension ref="A1:G55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32" t="s">
        <v>5631</v>
      </c>
      <c r="F9" s="111"/>
    </row>
    <row r="10" spans="1:6">
      <c r="A10" s="111" t="s">
        <v>5633</v>
      </c>
      <c r="B10" s="111"/>
      <c r="C10" s="111"/>
      <c r="D10" s="112" t="s">
        <v>1162</v>
      </c>
      <c r="E10" s="132" t="s">
        <v>5630</v>
      </c>
      <c r="F10" s="111"/>
    </row>
    <row r="11" spans="1:6">
      <c r="A11" s="111" t="s">
        <v>5634</v>
      </c>
      <c r="B11" s="111"/>
      <c r="C11" s="111"/>
      <c r="D11" s="112" t="s">
        <v>1163</v>
      </c>
      <c r="E11" s="132" t="s">
        <v>1094</v>
      </c>
      <c r="F11" s="111"/>
    </row>
    <row r="12" spans="1:6">
      <c r="A12" s="111" t="s">
        <v>5635</v>
      </c>
      <c r="B12" s="111"/>
      <c r="C12" s="111"/>
      <c r="D12" s="112" t="s">
        <v>1135</v>
      </c>
      <c r="E12" s="111" t="s">
        <v>5632</v>
      </c>
      <c r="F12" s="111"/>
    </row>
    <row r="13" spans="1:6">
      <c r="A13" s="111" t="s">
        <v>5636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432" t="s">
        <v>1098</v>
      </c>
      <c r="C16" s="19" t="s">
        <v>14</v>
      </c>
      <c r="D16" s="18"/>
      <c r="E16" s="17"/>
      <c r="F16" s="16" t="s">
        <v>13</v>
      </c>
    </row>
    <row r="17" spans="1:7">
      <c r="A17" s="111"/>
      <c r="B17" s="111"/>
      <c r="C17" s="111"/>
      <c r="D17" s="111"/>
      <c r="E17" s="111"/>
      <c r="F17" s="111"/>
    </row>
    <row r="18" spans="1:7">
      <c r="A18" s="116" t="s">
        <v>5637</v>
      </c>
      <c r="B18" s="121"/>
      <c r="C18" s="123" t="s">
        <v>5638</v>
      </c>
      <c r="D18" s="121"/>
      <c r="E18" s="121"/>
      <c r="F18" s="439">
        <v>1400</v>
      </c>
      <c r="G18" s="121"/>
    </row>
    <row r="19" spans="1:7">
      <c r="A19" s="121"/>
      <c r="B19" s="116"/>
      <c r="C19" s="121"/>
      <c r="D19" s="121"/>
      <c r="E19" s="121"/>
      <c r="F19" s="121"/>
      <c r="G19" s="121"/>
    </row>
    <row r="20" spans="1:7">
      <c r="A20" s="116"/>
      <c r="B20" s="116"/>
      <c r="C20" s="121"/>
      <c r="D20" s="121"/>
      <c r="E20" s="116"/>
      <c r="F20" s="121"/>
      <c r="G20" s="121"/>
    </row>
    <row r="21" spans="1:7">
      <c r="A21" s="116"/>
      <c r="B21" s="116"/>
      <c r="C21" s="121"/>
      <c r="D21" s="121"/>
      <c r="E21" s="121"/>
      <c r="F21" s="121"/>
      <c r="G21" s="121"/>
    </row>
    <row r="22" spans="1:7">
      <c r="A22" s="116"/>
      <c r="B22" s="120"/>
      <c r="C22" s="111"/>
      <c r="D22" s="111"/>
      <c r="E22" s="116"/>
      <c r="F22" s="111"/>
      <c r="G22" s="111"/>
    </row>
    <row r="23" spans="1:7">
      <c r="A23" s="116"/>
      <c r="B23" s="121"/>
      <c r="C23" s="111"/>
      <c r="D23" s="111"/>
      <c r="E23" s="111"/>
      <c r="F23" s="111"/>
      <c r="G23" s="111"/>
    </row>
    <row r="24" spans="1:7">
      <c r="A24" s="116"/>
      <c r="B24" s="116"/>
      <c r="C24" s="111"/>
      <c r="D24" s="111"/>
      <c r="E24" s="111"/>
      <c r="F24" s="111"/>
      <c r="G24" s="111"/>
    </row>
    <row r="25" spans="1:7">
      <c r="A25" s="111"/>
      <c r="B25" s="116"/>
      <c r="C25" s="111"/>
      <c r="D25" s="111"/>
      <c r="E25" s="111"/>
      <c r="F25" s="111"/>
      <c r="G25" s="111"/>
    </row>
    <row r="26" spans="1:7">
      <c r="A26" s="116"/>
      <c r="B26" s="120"/>
      <c r="C26" s="111"/>
      <c r="D26" s="111"/>
      <c r="E26" s="111"/>
      <c r="F26" s="111"/>
      <c r="G26" s="111"/>
    </row>
    <row r="27" spans="1:7">
      <c r="A27" s="112"/>
      <c r="B27" s="120"/>
      <c r="C27" s="111"/>
      <c r="D27" s="111"/>
      <c r="E27" s="111"/>
      <c r="F27" s="111"/>
      <c r="G27" s="111"/>
    </row>
    <row r="28" spans="1:7">
      <c r="A28" s="116"/>
      <c r="B28" s="116"/>
      <c r="C28" s="111"/>
      <c r="D28" s="111"/>
      <c r="E28" s="116"/>
      <c r="F28" s="111"/>
      <c r="G28" s="111"/>
    </row>
    <row r="29" spans="1:7">
      <c r="A29" s="116"/>
      <c r="B29" s="111"/>
      <c r="C29" s="111"/>
      <c r="D29" s="111"/>
      <c r="E29" s="111"/>
      <c r="F29" s="111"/>
      <c r="G29" s="111"/>
    </row>
    <row r="30" spans="1:7">
      <c r="A30" s="111"/>
      <c r="B30" s="120"/>
      <c r="C30" s="111"/>
      <c r="D30" s="111"/>
      <c r="E30" s="111"/>
      <c r="F30" s="111"/>
    </row>
    <row r="31" spans="1:7">
      <c r="A31" s="116"/>
      <c r="B31" s="120"/>
      <c r="C31" s="111"/>
      <c r="D31" s="111"/>
      <c r="E31" s="111"/>
      <c r="F31" s="111"/>
    </row>
    <row r="32" spans="1:7">
      <c r="A32" s="116"/>
      <c r="B32" s="120"/>
      <c r="C32" s="111"/>
      <c r="D32" s="111"/>
      <c r="E32" s="111"/>
    </row>
    <row r="33" spans="1:6">
      <c r="A33" s="111"/>
      <c r="B33" s="111"/>
      <c r="C33" s="111"/>
      <c r="D33" s="111"/>
      <c r="E33" s="111"/>
    </row>
    <row r="34" spans="1:6" ht="13.5" thickBot="1">
      <c r="A34" s="111"/>
      <c r="B34" s="111"/>
      <c r="C34" s="111"/>
      <c r="D34" s="111"/>
      <c r="E34" s="111"/>
      <c r="F34" s="117">
        <f>SUM(F18:F33)</f>
        <v>1400</v>
      </c>
    </row>
    <row r="35" spans="1:6" ht="13.5" thickTop="1">
      <c r="A35" s="111"/>
      <c r="B35" s="111"/>
      <c r="C35" s="111"/>
      <c r="D35" s="111"/>
      <c r="E35" s="111"/>
      <c r="F35" s="111"/>
    </row>
    <row r="36" spans="1:6" ht="20.100000000000001" customHeight="1">
      <c r="A36" s="118" t="s">
        <v>1133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Four Hundred and NO/100 -----------</v>
      </c>
      <c r="C36" s="119"/>
      <c r="D36" s="119"/>
      <c r="E36" s="119"/>
      <c r="F36" s="119"/>
    </row>
    <row r="37" spans="1:6">
      <c r="A37" s="120" t="s">
        <v>11</v>
      </c>
      <c r="B37" s="111"/>
      <c r="C37" s="111"/>
      <c r="D37" s="111"/>
      <c r="E37" s="111"/>
      <c r="F37" s="111"/>
    </row>
    <row r="38" spans="1:6">
      <c r="A38" s="111" t="s">
        <v>10</v>
      </c>
      <c r="B38" s="111"/>
      <c r="C38" s="111"/>
      <c r="D38" s="111"/>
      <c r="E38" s="111"/>
      <c r="F38" s="111"/>
    </row>
    <row r="39" spans="1:6" ht="25.5">
      <c r="A39" s="126"/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21"/>
      <c r="D41" s="111"/>
      <c r="E41" s="111"/>
      <c r="F41" s="111"/>
    </row>
    <row r="42" spans="1:6">
      <c r="A42" s="122"/>
      <c r="B42" s="122"/>
      <c r="C42" s="111"/>
      <c r="D42" s="111"/>
      <c r="E42" s="111"/>
      <c r="F42" s="111"/>
    </row>
    <row r="43" spans="1:6">
      <c r="B43" s="111"/>
      <c r="C43" s="111"/>
      <c r="D43" s="111"/>
      <c r="E43" s="111"/>
      <c r="F43" s="111"/>
    </row>
    <row r="44" spans="1:6">
      <c r="A44" s="123" t="s">
        <v>8</v>
      </c>
      <c r="C44" s="111"/>
      <c r="D44" s="123" t="s">
        <v>7</v>
      </c>
      <c r="E44" s="111"/>
      <c r="F44" s="124"/>
    </row>
    <row r="45" spans="1:6">
      <c r="A45" s="111"/>
      <c r="B45" s="111"/>
      <c r="C45" s="111"/>
      <c r="D45" s="111"/>
      <c r="E45" s="111"/>
      <c r="F45" s="111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22"/>
      <c r="B48" s="122"/>
      <c r="C48" s="111"/>
      <c r="D48" s="122"/>
      <c r="E48" s="122"/>
      <c r="F48" s="122"/>
    </row>
    <row r="49" spans="1:6" s="3" customFormat="1" ht="17.100000000000001" customHeight="1">
      <c r="A49" s="151" t="s">
        <v>2948</v>
      </c>
      <c r="B49" s="125"/>
      <c r="C49" s="126"/>
      <c r="D49" s="126" t="s">
        <v>3</v>
      </c>
      <c r="E49" s="126"/>
      <c r="F49" s="126"/>
    </row>
    <row r="50" spans="1:6">
      <c r="A50" s="151"/>
      <c r="B50" s="111"/>
      <c r="C50" s="111"/>
      <c r="D50" s="111" t="s">
        <v>2</v>
      </c>
      <c r="E50" s="111"/>
      <c r="F50" s="111"/>
    </row>
    <row r="51" spans="1:6">
      <c r="A51" s="111"/>
      <c r="B51" s="111"/>
      <c r="C51" s="111"/>
      <c r="D51" s="111"/>
      <c r="E51" s="111"/>
      <c r="F51" s="111"/>
    </row>
    <row r="52" spans="1:6">
      <c r="A52" s="111"/>
      <c r="B52" s="111"/>
      <c r="C52" s="111"/>
      <c r="D52" s="2" t="s">
        <v>1</v>
      </c>
      <c r="E52" s="111"/>
      <c r="F52" s="111"/>
    </row>
    <row r="53" spans="1:6">
      <c r="A53" s="111"/>
      <c r="B53" s="111"/>
      <c r="C53" s="111"/>
      <c r="D53" s="2" t="s">
        <v>0</v>
      </c>
      <c r="E53" s="111"/>
      <c r="F53" s="111"/>
    </row>
    <row r="54" spans="1:6">
      <c r="A54" s="111"/>
      <c r="B54" s="111"/>
      <c r="C54" s="111"/>
      <c r="D54" s="111"/>
      <c r="E54" s="111"/>
      <c r="F54" s="111"/>
    </row>
    <row r="55" spans="1:6">
      <c r="A55" s="111"/>
      <c r="B55" s="111"/>
      <c r="C55" s="111"/>
      <c r="D55" s="111"/>
      <c r="E55" s="111"/>
      <c r="F55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03159-4103-49B5-AA04-B42C3C009B18}">
  <sheetPr codeName="Sheet517"/>
  <dimension ref="A1:N56"/>
  <sheetViews>
    <sheetView view="pageBreakPreview" topLeftCell="A13" zoomScaleNormal="100" zoomScaleSheetLayoutView="10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1.140625" style="1" customWidth="1"/>
    <col min="4" max="4" width="23" style="1" customWidth="1"/>
    <col min="5" max="5" width="1.28515625" style="1" customWidth="1"/>
    <col min="6" max="6" width="15.42578125" style="1" customWidth="1"/>
    <col min="7" max="7" width="9" style="1" customWidth="1"/>
    <col min="8" max="8" width="12.85546875" style="1" customWidth="1"/>
    <col min="9" max="16384" width="9.140625" style="1"/>
  </cols>
  <sheetData>
    <row r="1" spans="1:14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4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4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4">
      <c r="A4" s="530" t="s">
        <v>1481</v>
      </c>
      <c r="B4" s="530"/>
      <c r="C4" s="530"/>
      <c r="D4" s="530"/>
      <c r="E4" s="530"/>
      <c r="F4" s="530"/>
      <c r="G4" s="530"/>
      <c r="H4" s="530"/>
    </row>
    <row r="7" spans="1:14">
      <c r="J7" s="1" t="s">
        <v>5224</v>
      </c>
      <c r="K7" s="1">
        <v>43425</v>
      </c>
      <c r="M7" s="1" t="s">
        <v>5225</v>
      </c>
    </row>
    <row r="8" spans="1:14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4">
      <c r="A9" s="111"/>
      <c r="B9" s="111"/>
      <c r="C9" s="111"/>
      <c r="D9" s="111"/>
      <c r="E9" s="111"/>
      <c r="F9" s="112" t="s">
        <v>1127</v>
      </c>
      <c r="G9" s="132" t="s">
        <v>5332</v>
      </c>
      <c r="H9" s="111"/>
    </row>
    <row r="10" spans="1:14">
      <c r="A10" s="111" t="s">
        <v>5226</v>
      </c>
      <c r="B10" s="111"/>
      <c r="C10" s="111"/>
      <c r="D10" s="111"/>
      <c r="E10" s="111"/>
      <c r="F10" s="112" t="s">
        <v>1162</v>
      </c>
      <c r="G10" s="132" t="s">
        <v>5331</v>
      </c>
      <c r="H10" s="111"/>
      <c r="K10" s="1" t="s">
        <v>4800</v>
      </c>
      <c r="L10" s="1">
        <v>43161</v>
      </c>
      <c r="N10" s="1" t="s">
        <v>4801</v>
      </c>
    </row>
    <row r="11" spans="1:14">
      <c r="A11" s="111" t="s">
        <v>2756</v>
      </c>
      <c r="B11" s="111"/>
      <c r="C11" s="111"/>
      <c r="D11" s="111"/>
      <c r="E11" s="111"/>
      <c r="F11" s="112" t="s">
        <v>1163</v>
      </c>
      <c r="G11" s="132" t="s">
        <v>1094</v>
      </c>
      <c r="H11" s="111"/>
    </row>
    <row r="12" spans="1:14">
      <c r="A12" s="111" t="s">
        <v>2757</v>
      </c>
      <c r="B12" s="111"/>
      <c r="C12" s="111"/>
      <c r="D12" s="111"/>
      <c r="E12" s="111"/>
      <c r="F12" s="112" t="s">
        <v>1096</v>
      </c>
      <c r="G12" s="120" t="s">
        <v>5333</v>
      </c>
      <c r="H12" s="111"/>
    </row>
    <row r="13" spans="1:14">
      <c r="A13" s="111" t="s">
        <v>5227</v>
      </c>
      <c r="B13" s="111"/>
      <c r="C13" s="111"/>
      <c r="D13" s="111"/>
      <c r="E13" s="111"/>
      <c r="F13" s="111"/>
      <c r="G13"/>
      <c r="H13" s="111"/>
      <c r="K13" s="2" t="s">
        <v>4927</v>
      </c>
      <c r="L13" s="111"/>
      <c r="M13" s="111"/>
      <c r="N13" s="111"/>
    </row>
    <row r="14" spans="1:14">
      <c r="A14" s="111"/>
      <c r="B14" s="111"/>
      <c r="C14" s="111"/>
      <c r="D14" s="111"/>
      <c r="E14" s="111"/>
      <c r="F14" s="111"/>
      <c r="G14" s="111"/>
      <c r="H14" s="111"/>
      <c r="K14" s="2"/>
      <c r="L14" s="111"/>
      <c r="M14" s="111"/>
      <c r="N14" s="111"/>
    </row>
    <row r="15" spans="1:14">
      <c r="A15" s="111"/>
      <c r="B15" s="111"/>
      <c r="C15" s="111"/>
      <c r="D15" s="111"/>
      <c r="E15" s="111"/>
      <c r="F15" s="111"/>
      <c r="G15" s="111"/>
      <c r="H15" s="111"/>
      <c r="K15" s="111" t="s">
        <v>4667</v>
      </c>
      <c r="M15" s="111"/>
      <c r="N15" s="111">
        <f>1530</f>
        <v>1530</v>
      </c>
    </row>
    <row r="16" spans="1:14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K16" s="111" t="s">
        <v>1583</v>
      </c>
      <c r="L16" s="111"/>
      <c r="M16" s="111"/>
      <c r="N16" s="111">
        <v>500</v>
      </c>
    </row>
    <row r="17" spans="1:14">
      <c r="A17" s="111"/>
      <c r="B17" s="111"/>
      <c r="C17" s="111"/>
      <c r="D17" s="111"/>
      <c r="E17" s="111"/>
      <c r="F17" s="111"/>
      <c r="G17" s="111"/>
      <c r="H17" s="111"/>
      <c r="K17" s="111" t="s">
        <v>4518</v>
      </c>
      <c r="L17" s="111"/>
      <c r="M17" s="111"/>
      <c r="N17" s="111">
        <v>150</v>
      </c>
    </row>
    <row r="18" spans="1:14">
      <c r="D18" s="2" t="s">
        <v>5334</v>
      </c>
      <c r="E18" s="2"/>
      <c r="F18" s="111"/>
      <c r="G18" s="111"/>
      <c r="H18" s="111"/>
      <c r="I18" s="242"/>
      <c r="K18" s="111" t="s">
        <v>4928</v>
      </c>
      <c r="L18" s="111"/>
      <c r="M18" s="111"/>
      <c r="N18" s="111">
        <v>100</v>
      </c>
    </row>
    <row r="19" spans="1:14">
      <c r="A19" s="116"/>
      <c r="B19" s="241"/>
      <c r="C19" s="241"/>
      <c r="D19" s="2"/>
      <c r="E19" s="2"/>
      <c r="F19" s="111"/>
      <c r="G19" s="111"/>
      <c r="H19" s="111"/>
      <c r="I19" s="111"/>
      <c r="K19" s="111"/>
      <c r="L19" s="111"/>
      <c r="M19" s="111"/>
      <c r="N19" s="111"/>
    </row>
    <row r="20" spans="1:14">
      <c r="A20" s="116" t="s">
        <v>5335</v>
      </c>
      <c r="B20" s="241" t="s">
        <v>5336</v>
      </c>
      <c r="C20" s="241"/>
      <c r="D20" s="111" t="s">
        <v>5337</v>
      </c>
      <c r="E20" s="111"/>
      <c r="F20" s="111"/>
      <c r="G20" s="111"/>
      <c r="H20" s="111">
        <v>46784.76</v>
      </c>
      <c r="I20" s="111"/>
    </row>
    <row r="21" spans="1:14">
      <c r="A21" s="111"/>
      <c r="D21" s="111" t="s">
        <v>5338</v>
      </c>
      <c r="E21" s="111"/>
      <c r="G21" s="111"/>
      <c r="H21" s="111"/>
      <c r="I21" s="111"/>
    </row>
    <row r="22" spans="1:14">
      <c r="A22" s="120"/>
      <c r="B22" s="313"/>
      <c r="C22" s="313"/>
      <c r="D22" s="111"/>
      <c r="E22" s="111"/>
      <c r="F22" s="111"/>
      <c r="G22" s="111"/>
      <c r="H22" s="111"/>
      <c r="I22" s="111"/>
    </row>
    <row r="23" spans="1:14">
      <c r="A23" s="116" t="s">
        <v>5299</v>
      </c>
      <c r="B23" s="241" t="s">
        <v>5339</v>
      </c>
      <c r="C23" s="241"/>
      <c r="D23" s="111" t="s">
        <v>5337</v>
      </c>
      <c r="E23" s="111"/>
      <c r="F23" s="111"/>
      <c r="G23" s="111"/>
      <c r="H23" s="111">
        <v>46784.76</v>
      </c>
      <c r="I23" s="111"/>
    </row>
    <row r="24" spans="1:14">
      <c r="A24" s="111"/>
      <c r="B24" s="111"/>
      <c r="C24" s="111"/>
      <c r="D24" s="111" t="s">
        <v>5340</v>
      </c>
      <c r="E24" s="111"/>
      <c r="F24" s="111"/>
      <c r="G24" s="111"/>
      <c r="H24" s="111"/>
      <c r="I24" s="111"/>
    </row>
    <row r="25" spans="1:14">
      <c r="A25" s="116"/>
      <c r="B25" s="241"/>
      <c r="C25" s="241"/>
      <c r="D25" s="111"/>
      <c r="E25" s="111"/>
      <c r="F25" s="111"/>
      <c r="G25" s="111"/>
      <c r="H25" s="111"/>
    </row>
    <row r="26" spans="1:14">
      <c r="C26" s="241"/>
      <c r="D26" s="2" t="s">
        <v>5228</v>
      </c>
      <c r="E26" s="111"/>
      <c r="F26" s="111"/>
      <c r="G26" s="111"/>
      <c r="H26" s="111"/>
    </row>
    <row r="27" spans="1:14">
      <c r="A27" s="120"/>
      <c r="B27" s="314"/>
      <c r="C27" s="314"/>
      <c r="D27" s="2"/>
      <c r="E27" s="2"/>
      <c r="F27" s="111"/>
      <c r="G27" s="111"/>
      <c r="H27" s="111"/>
    </row>
    <row r="28" spans="1:14">
      <c r="A28" s="116" t="s">
        <v>5335</v>
      </c>
      <c r="B28" s="241" t="s">
        <v>5341</v>
      </c>
      <c r="D28" s="111" t="s">
        <v>5342</v>
      </c>
      <c r="E28" s="111"/>
      <c r="G28" s="111"/>
      <c r="H28" s="111">
        <v>17550</v>
      </c>
    </row>
    <row r="29" spans="1:14">
      <c r="C29" s="313"/>
      <c r="D29" s="111" t="s">
        <v>5338</v>
      </c>
      <c r="E29" s="111"/>
      <c r="F29" s="111"/>
      <c r="G29" s="111"/>
      <c r="H29" s="111"/>
    </row>
    <row r="30" spans="1:14">
      <c r="A30" s="120"/>
      <c r="B30" s="241"/>
      <c r="C30" s="241"/>
      <c r="D30" s="111"/>
      <c r="E30" s="111"/>
      <c r="F30" s="111"/>
      <c r="G30" s="111"/>
      <c r="H30" s="111"/>
    </row>
    <row r="31" spans="1:14">
      <c r="A31" s="123"/>
      <c r="B31" s="111"/>
      <c r="C31" s="111"/>
      <c r="D31" s="111" t="s">
        <v>5343</v>
      </c>
      <c r="E31" s="111"/>
      <c r="F31" s="111"/>
      <c r="G31" s="111"/>
      <c r="H31" s="111">
        <f>H28*7%</f>
        <v>1228.5000000000002</v>
      </c>
    </row>
    <row r="32" spans="1:14">
      <c r="A32" s="111"/>
      <c r="B32" s="111"/>
      <c r="C32" s="111"/>
      <c r="D32" s="111"/>
      <c r="E32" s="111"/>
      <c r="F32" s="111"/>
      <c r="G32" s="111"/>
      <c r="H32" s="111"/>
    </row>
    <row r="33" spans="1:8">
      <c r="A33" s="123"/>
      <c r="B33" s="111"/>
      <c r="C33" s="111"/>
      <c r="D33" s="111"/>
      <c r="E33" s="111"/>
      <c r="F33" s="111"/>
      <c r="G33" s="111"/>
      <c r="H33" s="111"/>
    </row>
    <row r="34" spans="1:8" ht="13.5" thickBot="1">
      <c r="A34" s="111"/>
      <c r="B34" s="111"/>
      <c r="C34" s="111"/>
      <c r="D34" s="111"/>
      <c r="E34" s="111"/>
      <c r="F34" s="111"/>
      <c r="G34" s="111"/>
      <c r="H34" s="117">
        <f>SUM(H20:H33)</f>
        <v>112348.02</v>
      </c>
    </row>
    <row r="35" spans="1:8" ht="13.5" thickTop="1">
      <c r="A35" s="111"/>
      <c r="B35" s="111"/>
      <c r="C35" s="111"/>
      <c r="D35" s="111"/>
      <c r="E35" s="111"/>
      <c r="F35" s="111"/>
      <c r="G35" s="111"/>
      <c r="H35" s="111"/>
    </row>
    <row r="36" spans="1:8" ht="20.100000000000001" customHeight="1">
      <c r="A36" s="118" t="s">
        <v>1133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>One Hundred Twelve Thousand Three Hundred Forty-Eight and 2/100 -----------</v>
      </c>
      <c r="C36" s="202"/>
      <c r="D36" s="119"/>
      <c r="E36" s="119"/>
      <c r="F36" s="119"/>
      <c r="G36" s="119"/>
      <c r="H36" s="119"/>
    </row>
    <row r="37" spans="1:8">
      <c r="A37" s="120" t="s">
        <v>11</v>
      </c>
      <c r="B37" s="111"/>
      <c r="C37" s="111"/>
      <c r="D37" s="111"/>
      <c r="E37" s="111"/>
      <c r="F37" s="111"/>
      <c r="G37" s="111"/>
      <c r="H37" s="111"/>
    </row>
    <row r="38" spans="1:8" ht="25.5">
      <c r="A38" s="126" t="s">
        <v>10</v>
      </c>
      <c r="B38" s="111"/>
      <c r="C38" s="111"/>
      <c r="D38" s="123" t="s">
        <v>8</v>
      </c>
      <c r="E38" s="111"/>
      <c r="F38" s="265" t="s">
        <v>2894</v>
      </c>
      <c r="G38" s="266"/>
      <c r="H38" s="267"/>
    </row>
    <row r="39" spans="1:8">
      <c r="A39" s="111"/>
      <c r="B39" s="111"/>
      <c r="C39" s="111"/>
      <c r="D39" s="111"/>
      <c r="E39" s="111"/>
      <c r="F39" s="111"/>
      <c r="G39" s="111"/>
      <c r="H39" s="111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21"/>
      <c r="F41" s="111"/>
      <c r="G41" s="111"/>
      <c r="H41" s="111"/>
    </row>
    <row r="42" spans="1:8">
      <c r="A42" s="122"/>
      <c r="B42" s="122"/>
      <c r="C42" s="111"/>
      <c r="D42" s="122"/>
      <c r="E42" s="111"/>
      <c r="F42" s="111"/>
      <c r="G42" s="111"/>
      <c r="H42" s="111"/>
    </row>
    <row r="43" spans="1:8">
      <c r="A43" s="111"/>
      <c r="B43" s="111"/>
      <c r="C43" s="111"/>
      <c r="D43" s="151" t="s">
        <v>103</v>
      </c>
      <c r="E43" s="111"/>
      <c r="F43" s="111"/>
      <c r="G43" s="111"/>
      <c r="H43" s="111"/>
    </row>
    <row r="44" spans="1:8">
      <c r="A44" s="111"/>
      <c r="B44" s="111"/>
      <c r="C44" s="111"/>
      <c r="D44" s="15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85E51-59FC-4442-8D4C-97BF2C5ADCB7}">
  <sheetPr codeName="Sheet498"/>
  <dimension ref="A1:H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140625" style="86" customWidth="1"/>
    <col min="2" max="2" width="13.42578125" style="86" customWidth="1"/>
    <col min="3" max="3" width="1.140625" style="86" customWidth="1"/>
    <col min="4" max="4" width="23" style="86" customWidth="1"/>
    <col min="5" max="5" width="2" style="86" customWidth="1"/>
    <col min="6" max="6" width="13.85546875" style="86" customWidth="1"/>
    <col min="7" max="7" width="9" style="86" customWidth="1"/>
    <col min="8" max="8" width="12.85546875" style="86" customWidth="1"/>
    <col min="9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1481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B8" s="131"/>
      <c r="C8" s="131"/>
      <c r="D8" s="131"/>
      <c r="E8" s="131"/>
      <c r="F8" s="87" t="s">
        <v>23</v>
      </c>
      <c r="G8" s="131"/>
      <c r="H8" s="131"/>
    </row>
    <row r="9" spans="1:8">
      <c r="A9" s="131"/>
      <c r="B9" s="131"/>
      <c r="C9" s="131"/>
      <c r="D9" s="131"/>
      <c r="E9" s="131"/>
      <c r="F9" s="132" t="s">
        <v>1127</v>
      </c>
      <c r="G9" s="131" t="s">
        <v>4992</v>
      </c>
      <c r="H9" s="131"/>
    </row>
    <row r="10" spans="1:8">
      <c r="A10" s="131" t="s">
        <v>4929</v>
      </c>
      <c r="B10" s="131"/>
      <c r="C10" s="131"/>
      <c r="D10" s="131"/>
      <c r="E10" s="131"/>
      <c r="F10" s="132" t="s">
        <v>1162</v>
      </c>
      <c r="G10" s="132" t="s">
        <v>4993</v>
      </c>
      <c r="H10" s="131"/>
    </row>
    <row r="11" spans="1:8">
      <c r="A11" s="131" t="s">
        <v>4930</v>
      </c>
      <c r="B11" s="131"/>
      <c r="C11" s="131"/>
      <c r="D11" s="131"/>
      <c r="E11" s="131"/>
      <c r="F11" s="132" t="s">
        <v>1163</v>
      </c>
      <c r="G11" s="132" t="s">
        <v>2023</v>
      </c>
      <c r="H11" s="131"/>
    </row>
    <row r="12" spans="1:8">
      <c r="A12" s="131" t="s">
        <v>4931</v>
      </c>
      <c r="B12" s="131"/>
      <c r="C12" s="131"/>
      <c r="D12" s="131"/>
      <c r="E12" s="131"/>
      <c r="F12" s="132" t="s">
        <v>1135</v>
      </c>
      <c r="G12" s="132" t="s">
        <v>1270</v>
      </c>
      <c r="H12" s="131"/>
    </row>
    <row r="13" spans="1:8">
      <c r="A13" s="131" t="s">
        <v>4932</v>
      </c>
      <c r="B13" s="131"/>
      <c r="C13" s="131"/>
      <c r="D13" s="131"/>
      <c r="E13" s="131"/>
      <c r="F13" s="131"/>
      <c r="G13" s="131"/>
      <c r="H13" s="131"/>
    </row>
    <row r="14" spans="1:8">
      <c r="A14" s="131"/>
      <c r="B14" s="131"/>
      <c r="C14" s="131"/>
      <c r="D14" s="131"/>
      <c r="E14" s="131"/>
      <c r="F14" s="131"/>
      <c r="G14" s="131"/>
      <c r="H14" s="131"/>
    </row>
    <row r="15" spans="1:8">
      <c r="A15" s="131"/>
      <c r="B15" s="131"/>
      <c r="C15" s="131"/>
      <c r="D15" s="131"/>
      <c r="E15" s="131"/>
      <c r="F15" s="131"/>
      <c r="G15" s="131"/>
      <c r="H15" s="131"/>
    </row>
    <row r="16" spans="1:8" s="95" customFormat="1" ht="20.100000000000001" customHeight="1">
      <c r="A16" s="90" t="s">
        <v>1122</v>
      </c>
      <c r="B16" s="90" t="s">
        <v>1132</v>
      </c>
      <c r="C16" s="90"/>
      <c r="D16" s="92" t="s">
        <v>14</v>
      </c>
      <c r="E16" s="92"/>
      <c r="F16" s="90"/>
      <c r="G16" s="93"/>
      <c r="H16" s="94" t="s">
        <v>13</v>
      </c>
    </row>
    <row r="17" spans="1:8">
      <c r="A17" s="131"/>
      <c r="B17" s="131"/>
      <c r="C17" s="131"/>
      <c r="D17" s="131"/>
      <c r="E17" s="131"/>
      <c r="F17" s="131"/>
      <c r="G17" s="131"/>
      <c r="H17" s="131"/>
    </row>
    <row r="18" spans="1:8">
      <c r="A18" s="162"/>
      <c r="B18" s="131"/>
      <c r="C18" s="131"/>
      <c r="D18" s="110" t="s">
        <v>4926</v>
      </c>
      <c r="E18" s="110"/>
      <c r="F18" s="131"/>
      <c r="G18" s="131"/>
      <c r="H18" s="131"/>
    </row>
    <row r="19" spans="1:8">
      <c r="A19" s="131"/>
      <c r="B19" s="131"/>
      <c r="C19" s="131"/>
      <c r="D19" s="110"/>
      <c r="E19" s="110"/>
      <c r="F19" s="131"/>
      <c r="G19" s="131"/>
      <c r="H19" s="131"/>
    </row>
    <row r="20" spans="1:8">
      <c r="A20" s="165" t="s">
        <v>4969</v>
      </c>
      <c r="B20" s="158" t="s">
        <v>4994</v>
      </c>
      <c r="C20" s="131"/>
      <c r="D20" s="140" t="s">
        <v>4995</v>
      </c>
      <c r="E20" s="140"/>
      <c r="F20" s="131"/>
      <c r="G20" s="131"/>
      <c r="H20" s="131">
        <f>3672.77*4.053</f>
        <v>14885.73681</v>
      </c>
    </row>
    <row r="21" spans="1:8">
      <c r="A21" s="246"/>
      <c r="B21" s="131"/>
      <c r="C21" s="131"/>
      <c r="D21" s="131" t="s">
        <v>4997</v>
      </c>
      <c r="E21" s="131"/>
      <c r="H21" s="131"/>
    </row>
    <row r="22" spans="1:8">
      <c r="A22" s="162"/>
      <c r="B22" s="245"/>
      <c r="C22" s="245"/>
      <c r="D22" s="131"/>
      <c r="E22" s="131"/>
      <c r="F22" s="131"/>
      <c r="G22" s="131"/>
      <c r="H22" s="131"/>
    </row>
    <row r="23" spans="1:8">
      <c r="D23" s="131" t="s">
        <v>1697</v>
      </c>
      <c r="E23" s="131"/>
      <c r="H23" s="131">
        <v>30</v>
      </c>
    </row>
    <row r="24" spans="1:8">
      <c r="A24" s="244"/>
      <c r="B24" s="131"/>
      <c r="C24" s="131"/>
    </row>
    <row r="25" spans="1:8">
      <c r="A25" s="246"/>
      <c r="B25" s="131"/>
      <c r="C25" s="131"/>
      <c r="D25" s="131" t="s">
        <v>4996</v>
      </c>
      <c r="E25" s="131"/>
      <c r="H25" s="131">
        <v>125</v>
      </c>
    </row>
    <row r="26" spans="1:8">
      <c r="A26" s="162"/>
    </row>
    <row r="27" spans="1:8">
      <c r="B27" s="131"/>
      <c r="C27" s="131"/>
      <c r="D27" s="131" t="s">
        <v>4933</v>
      </c>
      <c r="E27" s="131"/>
      <c r="H27" s="131"/>
    </row>
    <row r="28" spans="1:8">
      <c r="A28" s="244"/>
      <c r="B28" s="131"/>
      <c r="C28" s="131"/>
      <c r="D28" s="110"/>
      <c r="E28" s="110"/>
      <c r="H28" s="131"/>
    </row>
    <row r="29" spans="1:8">
      <c r="A29" s="246"/>
      <c r="B29" s="131"/>
      <c r="C29" s="131"/>
      <c r="D29" s="131"/>
      <c r="E29" s="131"/>
      <c r="H29" s="131"/>
    </row>
    <row r="30" spans="1:8">
      <c r="A30" s="244"/>
      <c r="B30" s="131"/>
      <c r="C30" s="131"/>
      <c r="D30" s="131"/>
      <c r="E30" s="131"/>
      <c r="H30" s="131"/>
    </row>
    <row r="31" spans="1:8">
      <c r="A31" s="246"/>
      <c r="B31" s="131"/>
      <c r="C31" s="131"/>
      <c r="D31" s="110"/>
      <c r="E31" s="110"/>
      <c r="H31" s="131"/>
    </row>
    <row r="32" spans="1:8">
      <c r="A32" s="162"/>
      <c r="B32" s="131"/>
      <c r="C32" s="131"/>
      <c r="D32" s="131"/>
      <c r="E32" s="131"/>
      <c r="H32" s="131"/>
    </row>
    <row r="33" spans="1:8">
      <c r="A33" s="246"/>
      <c r="B33" s="131"/>
      <c r="C33" s="131"/>
      <c r="D33" s="131"/>
      <c r="E33" s="131"/>
      <c r="H33" s="131"/>
    </row>
    <row r="34" spans="1:8">
      <c r="A34" s="162"/>
      <c r="B34" s="131"/>
      <c r="C34" s="131"/>
      <c r="D34" s="131"/>
      <c r="E34" s="131"/>
      <c r="H34" s="131"/>
    </row>
    <row r="35" spans="1:8" ht="13.5" thickBot="1">
      <c r="A35" s="131"/>
      <c r="B35" s="131"/>
      <c r="C35" s="131"/>
      <c r="D35" s="131"/>
      <c r="E35" s="131"/>
      <c r="F35" s="131"/>
      <c r="G35" s="131"/>
      <c r="H35" s="164">
        <f>SUM(H19:H34)</f>
        <v>15040.73681</v>
      </c>
    </row>
    <row r="36" spans="1:8" ht="13.5" thickTop="1">
      <c r="A36" s="147"/>
      <c r="B36" s="131"/>
      <c r="C36" s="131"/>
      <c r="D36" s="131"/>
      <c r="E36" s="131"/>
    </row>
    <row r="37" spans="1:8" ht="20.100000000000001" customHeight="1">
      <c r="A37" s="138" t="s">
        <v>1133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Fifteen Thousand Forty and 74/100 -----------</v>
      </c>
      <c r="C37" s="204"/>
      <c r="D37" s="139"/>
      <c r="E37" s="139"/>
      <c r="F37" s="139"/>
      <c r="G37" s="139"/>
      <c r="H37" s="139"/>
    </row>
    <row r="38" spans="1:8">
      <c r="A38" s="140" t="s">
        <v>11</v>
      </c>
      <c r="B38" s="131"/>
      <c r="C38" s="131"/>
      <c r="D38" s="131"/>
      <c r="E38" s="131"/>
      <c r="F38" s="131"/>
      <c r="G38" s="131"/>
      <c r="H38" s="131"/>
    </row>
    <row r="39" spans="1:8" ht="25.5">
      <c r="A39" s="147" t="s">
        <v>10</v>
      </c>
      <c r="B39" s="131"/>
      <c r="C39" s="131"/>
      <c r="D39" s="131"/>
      <c r="E39" s="131"/>
      <c r="F39" s="283" t="s">
        <v>2894</v>
      </c>
      <c r="G39" s="284"/>
      <c r="H39" s="285"/>
    </row>
    <row r="40" spans="1:8">
      <c r="A40" s="131"/>
      <c r="B40" s="131"/>
      <c r="C40" s="131"/>
      <c r="D40" s="131"/>
      <c r="E40" s="131"/>
      <c r="F40" s="131"/>
      <c r="G40" s="131"/>
      <c r="H40" s="131"/>
    </row>
    <row r="41" spans="1:8">
      <c r="A41" s="145"/>
      <c r="B41" s="131"/>
      <c r="C41" s="131"/>
      <c r="D41" s="131"/>
      <c r="E41" s="131"/>
      <c r="F41" s="131"/>
      <c r="G41" s="131"/>
      <c r="H41" s="131"/>
    </row>
    <row r="42" spans="1:8">
      <c r="A42" s="131"/>
      <c r="B42" s="131"/>
      <c r="C42" s="131"/>
      <c r="D42" s="141"/>
      <c r="E42" s="141"/>
      <c r="F42" s="131"/>
      <c r="G42" s="131"/>
      <c r="H42" s="131"/>
    </row>
    <row r="43" spans="1:8">
      <c r="A43" s="142"/>
      <c r="B43" s="142"/>
      <c r="C43" s="131"/>
      <c r="D43" s="131"/>
      <c r="E43" s="131"/>
      <c r="F43" s="131"/>
      <c r="G43" s="131"/>
      <c r="H43" s="131"/>
    </row>
    <row r="44" spans="1:8">
      <c r="B44" s="131"/>
      <c r="C44" s="131"/>
      <c r="D44" s="131"/>
      <c r="E44" s="131"/>
      <c r="F44" s="131"/>
      <c r="G44" s="131"/>
      <c r="H44" s="131"/>
    </row>
    <row r="45" spans="1:8">
      <c r="A45" s="143" t="s">
        <v>8</v>
      </c>
      <c r="D45" s="143" t="s">
        <v>8</v>
      </c>
      <c r="E45" s="131"/>
      <c r="F45" s="143" t="s">
        <v>7</v>
      </c>
      <c r="G45" s="131"/>
      <c r="H45" s="144"/>
    </row>
    <row r="46" spans="1:8">
      <c r="A46" s="131"/>
      <c r="B46" s="131"/>
      <c r="C46" s="131"/>
      <c r="D46" s="131"/>
      <c r="E46" s="131"/>
      <c r="F46" s="131"/>
      <c r="G46" s="131"/>
      <c r="H46" s="131"/>
    </row>
    <row r="47" spans="1:8">
      <c r="A47" s="131"/>
      <c r="B47" s="131"/>
      <c r="C47" s="131"/>
      <c r="D47" s="131"/>
      <c r="E47" s="131"/>
      <c r="F47" s="131"/>
      <c r="G47" s="131"/>
      <c r="H47" s="131"/>
    </row>
    <row r="48" spans="1:8">
      <c r="A48" s="131"/>
      <c r="B48" s="131"/>
      <c r="C48" s="131"/>
      <c r="D48" s="131"/>
      <c r="E48" s="131"/>
      <c r="F48" s="131"/>
      <c r="G48" s="131"/>
      <c r="H48" s="131"/>
    </row>
    <row r="49" spans="1:8">
      <c r="A49" s="142"/>
      <c r="B49" s="142"/>
      <c r="C49" s="131"/>
      <c r="D49" s="142"/>
      <c r="E49" s="131"/>
      <c r="F49" s="142"/>
      <c r="G49" s="142"/>
      <c r="H49" s="142"/>
    </row>
    <row r="50" spans="1:8" s="109" customFormat="1" ht="17.100000000000001" customHeight="1">
      <c r="A50" s="145" t="s">
        <v>2948</v>
      </c>
      <c r="B50" s="146"/>
      <c r="C50" s="146"/>
      <c r="D50" s="145" t="s">
        <v>103</v>
      </c>
      <c r="E50" s="147"/>
      <c r="F50" s="147" t="s">
        <v>3</v>
      </c>
      <c r="G50" s="147"/>
      <c r="H50" s="147"/>
    </row>
    <row r="51" spans="1:8">
      <c r="A51" s="131"/>
      <c r="B51" s="131"/>
      <c r="C51" s="131"/>
      <c r="D51" s="131"/>
      <c r="E51" s="131"/>
      <c r="F51" s="131" t="s">
        <v>2</v>
      </c>
      <c r="G51" s="131"/>
      <c r="H51" s="131"/>
    </row>
    <row r="52" spans="1:8">
      <c r="A52" s="131"/>
      <c r="B52" s="131"/>
      <c r="C52" s="131"/>
      <c r="D52" s="131"/>
      <c r="E52" s="131"/>
      <c r="F52" s="131"/>
      <c r="G52" s="131"/>
      <c r="H52" s="131"/>
    </row>
    <row r="53" spans="1:8">
      <c r="A53" s="131"/>
      <c r="B53" s="131"/>
      <c r="C53" s="131"/>
      <c r="D53" s="131"/>
      <c r="E53" s="131"/>
      <c r="F53" s="110" t="s">
        <v>1</v>
      </c>
      <c r="G53" s="131"/>
      <c r="H53" s="131"/>
    </row>
    <row r="54" spans="1:8">
      <c r="A54" s="131"/>
      <c r="B54" s="131"/>
      <c r="C54" s="131"/>
      <c r="D54" s="131"/>
      <c r="E54" s="131"/>
      <c r="F54" s="110" t="s">
        <v>0</v>
      </c>
      <c r="G54" s="131"/>
      <c r="H54" s="131"/>
    </row>
    <row r="55" spans="1:8">
      <c r="A55" s="131"/>
      <c r="B55" s="131"/>
      <c r="C55" s="131"/>
      <c r="D55" s="131"/>
      <c r="E55" s="131"/>
      <c r="F55" s="131"/>
      <c r="G55" s="131"/>
      <c r="H55" s="131"/>
    </row>
    <row r="56" spans="1:8">
      <c r="A56" s="131"/>
      <c r="B56" s="131"/>
      <c r="C56" s="131"/>
      <c r="D56" s="131"/>
      <c r="E56" s="131"/>
      <c r="F56" s="131"/>
      <c r="G56" s="131"/>
      <c r="H56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55F7-1C76-45DA-B90D-4296D172B45F}">
  <sheetPr codeName="Sheet606"/>
  <dimension ref="A1:U111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4.28515625" style="1" customWidth="1"/>
    <col min="2" max="2" width="11" style="1" customWidth="1"/>
    <col min="3" max="3" width="1" style="1" customWidth="1"/>
    <col min="4" max="4" width="25.28515625" style="1" customWidth="1"/>
    <col min="5" max="5" width="1" style="1" customWidth="1"/>
    <col min="6" max="6" width="15" style="1" customWidth="1"/>
    <col min="7" max="7" width="12.85546875" style="1" customWidth="1"/>
    <col min="8" max="8" width="11.7109375" style="1" customWidth="1"/>
    <col min="9" max="16384" width="9.140625" style="1"/>
  </cols>
  <sheetData>
    <row r="1" spans="1:16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6">
      <c r="A2" s="530" t="s">
        <v>25</v>
      </c>
      <c r="B2" s="530"/>
      <c r="C2" s="530"/>
      <c r="D2" s="530"/>
      <c r="E2" s="530"/>
      <c r="F2" s="530"/>
      <c r="G2" s="530"/>
      <c r="H2" s="530"/>
      <c r="M2" s="483" t="s">
        <v>5544</v>
      </c>
      <c r="N2" s="483"/>
      <c r="O2" s="483"/>
      <c r="P2" s="483">
        <v>660</v>
      </c>
    </row>
    <row r="3" spans="1:16">
      <c r="A3" s="530" t="s">
        <v>1480</v>
      </c>
      <c r="B3" s="530"/>
      <c r="C3" s="530"/>
      <c r="D3" s="530"/>
      <c r="E3" s="530"/>
      <c r="F3" s="530"/>
      <c r="G3" s="530"/>
      <c r="H3" s="530"/>
      <c r="I3" s="1" t="s">
        <v>6897</v>
      </c>
      <c r="J3" s="1">
        <v>44075</v>
      </c>
      <c r="K3" s="1" t="s">
        <v>6898</v>
      </c>
      <c r="M3" s="483" t="s">
        <v>5545</v>
      </c>
      <c r="P3" s="483"/>
    </row>
    <row r="4" spans="1:16">
      <c r="A4" s="530" t="s">
        <v>1481</v>
      </c>
      <c r="B4" s="530"/>
      <c r="C4" s="530"/>
      <c r="D4" s="530"/>
      <c r="E4" s="530"/>
      <c r="F4" s="530"/>
      <c r="G4" s="530"/>
      <c r="H4" s="530"/>
      <c r="M4" s="483"/>
      <c r="P4" s="483"/>
    </row>
    <row r="5" spans="1:16">
      <c r="M5" s="483" t="s">
        <v>5544</v>
      </c>
      <c r="P5" s="483">
        <v>400</v>
      </c>
    </row>
    <row r="6" spans="1:16">
      <c r="M6" s="483" t="s">
        <v>5546</v>
      </c>
    </row>
    <row r="7" spans="1:16">
      <c r="M7" s="482"/>
    </row>
    <row r="8" spans="1:16">
      <c r="A8" s="483" t="s">
        <v>24</v>
      </c>
      <c r="B8" s="483"/>
      <c r="C8" s="483"/>
      <c r="D8" s="483"/>
      <c r="E8" s="483"/>
      <c r="F8" s="22" t="s">
        <v>23</v>
      </c>
      <c r="G8" s="483"/>
      <c r="H8" s="483"/>
      <c r="M8" s="483" t="s">
        <v>5544</v>
      </c>
      <c r="P8" s="483">
        <v>400</v>
      </c>
    </row>
    <row r="9" spans="1:16">
      <c r="A9" s="483"/>
      <c r="B9" s="483"/>
      <c r="C9" s="483"/>
      <c r="D9" s="483"/>
      <c r="E9" s="483"/>
      <c r="F9" s="484" t="s">
        <v>1127</v>
      </c>
      <c r="G9" s="489" t="s">
        <v>7167</v>
      </c>
      <c r="H9" s="483"/>
      <c r="J9" s="1" t="s">
        <v>7024</v>
      </c>
      <c r="K9" s="1">
        <v>44127</v>
      </c>
      <c r="L9" s="1" t="s">
        <v>7025</v>
      </c>
      <c r="M9" s="483" t="s">
        <v>5547</v>
      </c>
      <c r="P9" s="483"/>
    </row>
    <row r="10" spans="1:16">
      <c r="A10" s="483" t="s">
        <v>6638</v>
      </c>
      <c r="B10" s="483"/>
      <c r="C10" s="483"/>
      <c r="D10" s="483"/>
      <c r="E10" s="483"/>
      <c r="F10" s="484" t="s">
        <v>1162</v>
      </c>
      <c r="G10" s="489" t="s">
        <v>7158</v>
      </c>
      <c r="H10" s="483"/>
      <c r="M10" s="483"/>
      <c r="P10" s="483"/>
    </row>
    <row r="11" spans="1:16">
      <c r="A11" s="483" t="s">
        <v>6639</v>
      </c>
      <c r="B11" s="483"/>
      <c r="C11" s="483"/>
      <c r="D11" s="483"/>
      <c r="E11" s="483"/>
      <c r="F11" s="484" t="s">
        <v>1163</v>
      </c>
      <c r="G11" s="489" t="s">
        <v>1094</v>
      </c>
      <c r="H11" s="483"/>
      <c r="M11" s="483" t="s">
        <v>5548</v>
      </c>
      <c r="P11" s="483">
        <v>240</v>
      </c>
    </row>
    <row r="12" spans="1:16">
      <c r="A12" s="483"/>
      <c r="B12" s="483"/>
      <c r="C12" s="483"/>
      <c r="D12" s="483"/>
      <c r="E12" s="483"/>
      <c r="F12" s="484" t="s">
        <v>1135</v>
      </c>
      <c r="G12" s="486" t="s">
        <v>7168</v>
      </c>
      <c r="H12" s="483"/>
      <c r="M12" s="483"/>
      <c r="P12" s="483"/>
    </row>
    <row r="13" spans="1:16">
      <c r="A13" s="483"/>
      <c r="B13" s="483"/>
      <c r="C13" s="483"/>
      <c r="D13" s="483"/>
      <c r="E13" s="483"/>
      <c r="F13" s="483"/>
      <c r="G13" s="488" t="s">
        <v>6182</v>
      </c>
      <c r="H13" s="483"/>
      <c r="M13" s="483" t="s">
        <v>5175</v>
      </c>
      <c r="P13" s="483">
        <f>SUM(P1:P12)*6%</f>
        <v>102</v>
      </c>
    </row>
    <row r="14" spans="1:16">
      <c r="A14" s="483"/>
      <c r="B14" s="483"/>
      <c r="C14" s="483"/>
      <c r="D14" s="483"/>
      <c r="E14" s="483"/>
      <c r="F14" s="483"/>
      <c r="G14" s="483"/>
      <c r="H14" s="483"/>
      <c r="M14" s="483"/>
      <c r="P14" s="483"/>
    </row>
    <row r="15" spans="1:16">
      <c r="A15" s="483"/>
      <c r="B15" s="483"/>
      <c r="C15" s="483"/>
      <c r="D15" s="483"/>
      <c r="E15" s="483"/>
      <c r="F15" s="483"/>
      <c r="G15" s="483"/>
      <c r="H15" s="483"/>
    </row>
    <row r="16" spans="1:16" s="15" customFormat="1" ht="20.100000000000001" customHeight="1">
      <c r="A16" s="18" t="s">
        <v>1122</v>
      </c>
      <c r="B16" s="18" t="s">
        <v>1098</v>
      </c>
      <c r="C16" s="18"/>
      <c r="D16" s="19" t="s">
        <v>14</v>
      </c>
      <c r="E16" s="19"/>
      <c r="F16" s="18"/>
      <c r="G16" s="17"/>
      <c r="H16" s="16" t="s">
        <v>13</v>
      </c>
    </row>
    <row r="17" spans="1:17">
      <c r="A17" s="483"/>
      <c r="B17" s="483"/>
      <c r="C17" s="483"/>
      <c r="D17" s="483"/>
      <c r="E17" s="483"/>
      <c r="F17" s="483"/>
      <c r="G17" s="483"/>
      <c r="H17" s="483"/>
      <c r="M17" s="483" t="s">
        <v>4976</v>
      </c>
      <c r="N17" s="482"/>
      <c r="O17" s="483"/>
      <c r="P17" s="483"/>
      <c r="Q17" s="483">
        <v>120</v>
      </c>
    </row>
    <row r="18" spans="1:17">
      <c r="A18" s="486"/>
      <c r="B18" s="483"/>
      <c r="C18" s="483"/>
      <c r="D18" s="482" t="s">
        <v>6963</v>
      </c>
      <c r="E18" s="482"/>
      <c r="F18" s="483"/>
      <c r="G18" s="483"/>
      <c r="H18" s="483"/>
      <c r="M18" s="483" t="s">
        <v>2796</v>
      </c>
      <c r="N18" s="483"/>
      <c r="O18" s="483"/>
      <c r="P18" s="483"/>
      <c r="Q18" s="483">
        <f>20</f>
        <v>20</v>
      </c>
    </row>
    <row r="19" spans="1:17" s="483" customFormat="1">
      <c r="A19" s="486"/>
      <c r="D19" s="482"/>
      <c r="E19" s="482"/>
      <c r="M19" s="483" t="s">
        <v>4754</v>
      </c>
      <c r="Q19" s="483">
        <v>40</v>
      </c>
    </row>
    <row r="20" spans="1:17" s="483" customFormat="1">
      <c r="A20" s="513"/>
      <c r="B20" s="485"/>
      <c r="D20" s="483" t="s">
        <v>7116</v>
      </c>
      <c r="E20" s="482"/>
      <c r="H20" s="483">
        <v>398.95</v>
      </c>
      <c r="M20" s="483" t="s">
        <v>5175</v>
      </c>
      <c r="Q20" s="483">
        <f>SUM(Q17+Q18+Q19)*6%</f>
        <v>10.799999999999999</v>
      </c>
    </row>
    <row r="21" spans="1:17" s="483" customFormat="1">
      <c r="A21" s="485"/>
      <c r="B21" s="485"/>
      <c r="C21" s="485"/>
    </row>
    <row r="22" spans="1:17" s="483" customFormat="1">
      <c r="A22" s="485"/>
      <c r="M22" s="482" t="s">
        <v>6437</v>
      </c>
    </row>
    <row r="23" spans="1:17" s="483" customFormat="1">
      <c r="A23" s="485"/>
      <c r="M23" s="482"/>
    </row>
    <row r="24" spans="1:17" s="483" customFormat="1">
      <c r="A24" s="485"/>
      <c r="M24" s="482"/>
    </row>
    <row r="25" spans="1:17" s="483" customFormat="1">
      <c r="A25" s="485"/>
      <c r="M25" s="463"/>
      <c r="N25" s="482"/>
    </row>
    <row r="26" spans="1:17" s="483" customFormat="1">
      <c r="A26" s="485"/>
      <c r="D26" s="482"/>
      <c r="M26" s="483" t="s">
        <v>6438</v>
      </c>
      <c r="N26" s="482"/>
      <c r="Q26" s="483">
        <v>120</v>
      </c>
    </row>
    <row r="27" spans="1:17" s="483" customFormat="1">
      <c r="A27" s="485"/>
      <c r="B27" s="485"/>
      <c r="M27" s="483" t="s">
        <v>2796</v>
      </c>
      <c r="Q27" s="483">
        <f>20</f>
        <v>20</v>
      </c>
    </row>
    <row r="28" spans="1:17" s="483" customFormat="1">
      <c r="E28" s="482"/>
      <c r="M28" s="483" t="s">
        <v>6439</v>
      </c>
      <c r="Q28" s="483">
        <v>120</v>
      </c>
    </row>
    <row r="29" spans="1:17" s="483" customFormat="1">
      <c r="A29" s="485"/>
      <c r="B29" s="485"/>
      <c r="E29" s="482"/>
      <c r="M29" s="483" t="s">
        <v>6374</v>
      </c>
      <c r="Q29" s="483">
        <v>40</v>
      </c>
    </row>
    <row r="30" spans="1:17" s="483" customFormat="1">
      <c r="A30" s="485"/>
      <c r="B30" s="485"/>
      <c r="C30" s="485"/>
      <c r="M30" s="483" t="s">
        <v>6440</v>
      </c>
      <c r="Q30" s="483">
        <v>40</v>
      </c>
    </row>
    <row r="31" spans="1:17" s="483" customFormat="1">
      <c r="A31" s="485"/>
      <c r="B31" s="485"/>
      <c r="C31" s="485"/>
      <c r="M31" s="483" t="s">
        <v>5175</v>
      </c>
      <c r="Q31" s="483">
        <v>20.399999999999999</v>
      </c>
    </row>
    <row r="32" spans="1:17" s="483" customFormat="1">
      <c r="A32" s="485"/>
      <c r="B32" s="485"/>
      <c r="C32" s="485"/>
    </row>
    <row r="33" spans="1:18" s="483" customFormat="1"/>
    <row r="34" spans="1:18" s="483" customFormat="1" ht="13.5" thickBot="1">
      <c r="H34" s="117">
        <f>SUM(H20:H32)</f>
        <v>398.95</v>
      </c>
    </row>
    <row r="35" spans="1:18" s="483" customFormat="1" ht="13.5" thickTop="1">
      <c r="M35" s="483" t="s">
        <v>5544</v>
      </c>
      <c r="N35" s="482"/>
      <c r="Q35" s="483">
        <v>660</v>
      </c>
    </row>
    <row r="36" spans="1:18" s="483" customFormat="1" ht="18.75" customHeight="1">
      <c r="A36" s="118" t="s">
        <v>1133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Three Hundred Ninety-Eight and 95/100 -----------</v>
      </c>
      <c r="C36" s="202"/>
      <c r="D36" s="119"/>
      <c r="E36" s="119"/>
      <c r="F36" s="119"/>
      <c r="G36" s="119"/>
      <c r="H36" s="119"/>
      <c r="L36" s="485"/>
      <c r="M36" s="483" t="s">
        <v>5545</v>
      </c>
    </row>
    <row r="37" spans="1:18" s="483" customFormat="1">
      <c r="A37" s="486" t="s">
        <v>11</v>
      </c>
    </row>
    <row r="38" spans="1:18" ht="24.75" customHeight="1">
      <c r="A38" s="483" t="s">
        <v>10</v>
      </c>
      <c r="B38" s="483"/>
      <c r="C38" s="483"/>
      <c r="D38" s="483"/>
      <c r="E38" s="483"/>
      <c r="F38" s="265" t="s">
        <v>2894</v>
      </c>
      <c r="G38" s="266"/>
      <c r="H38" s="267"/>
      <c r="M38" s="483" t="s">
        <v>5544</v>
      </c>
      <c r="N38" s="483"/>
      <c r="O38" s="483"/>
      <c r="P38" s="483"/>
      <c r="Q38" s="483">
        <v>400</v>
      </c>
    </row>
    <row r="39" spans="1:18">
      <c r="A39" s="483"/>
      <c r="B39" s="483"/>
      <c r="C39" s="483"/>
      <c r="D39" s="483"/>
      <c r="E39" s="483"/>
      <c r="F39" s="483"/>
      <c r="G39" s="483"/>
      <c r="H39" s="483"/>
      <c r="M39" s="483" t="s">
        <v>5546</v>
      </c>
      <c r="N39" s="483"/>
      <c r="O39" s="483"/>
      <c r="P39" s="483"/>
      <c r="Q39" s="483"/>
    </row>
    <row r="40" spans="1:18" ht="20.100000000000001" customHeight="1">
      <c r="A40" s="126"/>
      <c r="B40" s="483"/>
      <c r="C40" s="483"/>
      <c r="D40" s="483"/>
      <c r="E40" s="483"/>
      <c r="M40" s="482"/>
      <c r="N40" s="483"/>
      <c r="O40" s="483"/>
      <c r="P40" s="483"/>
      <c r="Q40" s="483"/>
    </row>
    <row r="41" spans="1:18">
      <c r="A41" s="483"/>
      <c r="B41" s="483"/>
      <c r="C41" s="483"/>
      <c r="D41" s="121"/>
      <c r="E41" s="121"/>
      <c r="F41" s="483"/>
      <c r="G41" s="483"/>
      <c r="H41" s="483"/>
      <c r="M41" s="483" t="s">
        <v>5544</v>
      </c>
      <c r="N41" s="483"/>
      <c r="O41" s="483"/>
      <c r="P41" s="483"/>
      <c r="Q41" s="483">
        <v>400</v>
      </c>
      <c r="R41" s="483"/>
    </row>
    <row r="42" spans="1:18">
      <c r="A42" s="122"/>
      <c r="B42" s="122"/>
      <c r="C42" s="433"/>
      <c r="D42" s="483"/>
      <c r="E42" s="483"/>
      <c r="F42" s="483"/>
      <c r="G42" s="483"/>
      <c r="H42" s="483"/>
      <c r="M42" s="483" t="s">
        <v>5547</v>
      </c>
      <c r="N42" s="482"/>
      <c r="O42" s="483"/>
      <c r="P42" s="483"/>
      <c r="Q42" s="483"/>
      <c r="R42" s="483"/>
    </row>
    <row r="43" spans="1:18">
      <c r="B43" s="483"/>
      <c r="C43" s="483"/>
      <c r="D43" s="483"/>
      <c r="E43" s="483"/>
      <c r="F43" s="483"/>
      <c r="G43" s="483"/>
      <c r="H43" s="483"/>
      <c r="M43" s="483"/>
      <c r="N43" s="482"/>
      <c r="O43" s="483"/>
      <c r="P43" s="483"/>
      <c r="Q43" s="483"/>
      <c r="R43" s="483"/>
    </row>
    <row r="44" spans="1:18">
      <c r="A44" s="487" t="s">
        <v>8</v>
      </c>
      <c r="D44" s="487" t="s">
        <v>8</v>
      </c>
      <c r="E44" s="483"/>
      <c r="F44" s="487" t="s">
        <v>7</v>
      </c>
      <c r="G44" s="483"/>
      <c r="H44" s="124"/>
      <c r="M44" s="483" t="s">
        <v>5548</v>
      </c>
      <c r="N44" s="483"/>
      <c r="O44" s="483"/>
      <c r="P44" s="483"/>
      <c r="Q44" s="483">
        <v>240</v>
      </c>
    </row>
    <row r="45" spans="1:18">
      <c r="A45" s="483"/>
      <c r="B45" s="483"/>
      <c r="C45" s="483"/>
      <c r="D45" s="483"/>
      <c r="E45" s="483"/>
      <c r="F45" s="483"/>
      <c r="G45" s="483"/>
      <c r="H45" s="483"/>
      <c r="M45" s="483"/>
      <c r="N45" s="483"/>
      <c r="O45" s="483"/>
      <c r="P45" s="483"/>
      <c r="Q45" s="483"/>
    </row>
    <row r="46" spans="1:18">
      <c r="A46" s="483"/>
      <c r="B46" s="483"/>
      <c r="C46" s="483"/>
      <c r="D46" s="483"/>
      <c r="E46" s="483"/>
      <c r="F46" s="483"/>
      <c r="G46" s="483"/>
      <c r="H46" s="483"/>
      <c r="M46" s="485"/>
      <c r="N46" s="485"/>
    </row>
    <row r="47" spans="1:18">
      <c r="A47" s="483"/>
      <c r="B47" s="483"/>
      <c r="C47" s="483"/>
      <c r="D47" s="483"/>
      <c r="E47" s="483"/>
      <c r="F47" s="483"/>
      <c r="G47" s="483"/>
      <c r="H47" s="483"/>
      <c r="M47" s="485"/>
      <c r="N47" s="485"/>
      <c r="O47" s="483"/>
      <c r="R47" s="483"/>
    </row>
    <row r="48" spans="1:18">
      <c r="A48" s="122"/>
      <c r="B48" s="122"/>
      <c r="C48" s="433"/>
      <c r="D48" s="122"/>
      <c r="E48" s="483"/>
      <c r="F48" s="122"/>
      <c r="G48" s="122"/>
      <c r="H48" s="122"/>
      <c r="M48" s="485"/>
      <c r="N48" s="485"/>
      <c r="O48" s="483"/>
      <c r="R48" s="483"/>
    </row>
    <row r="49" spans="1:18">
      <c r="A49" s="151" t="s">
        <v>2948</v>
      </c>
      <c r="B49" s="125"/>
      <c r="C49" s="125"/>
      <c r="D49" s="151" t="s">
        <v>103</v>
      </c>
      <c r="E49" s="126"/>
      <c r="F49" s="126" t="s">
        <v>3</v>
      </c>
      <c r="G49" s="126"/>
      <c r="H49" s="126"/>
      <c r="M49" s="485"/>
      <c r="N49" s="485"/>
      <c r="O49" s="483"/>
      <c r="R49" s="483"/>
    </row>
    <row r="50" spans="1:18">
      <c r="A50" s="483"/>
      <c r="B50" s="483"/>
      <c r="C50" s="483"/>
      <c r="D50" s="483"/>
      <c r="E50" s="483"/>
      <c r="F50" s="483" t="s">
        <v>2</v>
      </c>
      <c r="G50" s="483"/>
      <c r="H50" s="483"/>
      <c r="M50" s="485"/>
      <c r="N50" s="485"/>
      <c r="O50" s="483"/>
    </row>
    <row r="51" spans="1:18">
      <c r="A51" s="151"/>
      <c r="B51" s="483"/>
      <c r="C51" s="483"/>
      <c r="D51" s="483"/>
      <c r="E51" s="483"/>
      <c r="F51" s="483"/>
      <c r="G51" s="483"/>
      <c r="H51" s="483"/>
    </row>
    <row r="52" spans="1:18">
      <c r="A52" s="483"/>
      <c r="B52" s="483"/>
      <c r="C52" s="483"/>
      <c r="D52" s="483"/>
      <c r="E52" s="483"/>
      <c r="F52" s="482" t="s">
        <v>1</v>
      </c>
      <c r="G52" s="483"/>
      <c r="H52" s="483"/>
    </row>
    <row r="53" spans="1:18" s="3" customFormat="1" ht="17.100000000000001" customHeight="1">
      <c r="A53" s="483"/>
      <c r="B53" s="483"/>
      <c r="C53" s="483"/>
      <c r="D53" s="483"/>
      <c r="E53" s="483"/>
      <c r="F53" s="482" t="s">
        <v>0</v>
      </c>
      <c r="G53" s="483"/>
      <c r="H53" s="483"/>
    </row>
    <row r="54" spans="1:18">
      <c r="A54" s="483"/>
      <c r="B54" s="483"/>
      <c r="C54" s="483"/>
      <c r="D54" s="483"/>
      <c r="E54" s="483"/>
      <c r="F54" s="483"/>
      <c r="G54" s="483"/>
      <c r="H54" s="483"/>
    </row>
    <row r="55" spans="1:18">
      <c r="A55" s="483"/>
      <c r="B55" s="483"/>
      <c r="C55" s="483"/>
      <c r="D55" s="483"/>
      <c r="E55" s="483"/>
      <c r="F55" s="483"/>
      <c r="G55" s="483"/>
      <c r="H55" s="483"/>
    </row>
    <row r="57" spans="1:18">
      <c r="N57" s="482" t="s">
        <v>5587</v>
      </c>
      <c r="O57" s="482"/>
      <c r="P57" s="483"/>
      <c r="Q57" s="483"/>
      <c r="R57" s="483"/>
    </row>
    <row r="58" spans="1:18">
      <c r="N58" s="482"/>
      <c r="O58" s="482"/>
      <c r="P58" s="483"/>
      <c r="Q58" s="483"/>
      <c r="R58" s="483"/>
    </row>
    <row r="59" spans="1:18">
      <c r="N59" s="483" t="s">
        <v>5765</v>
      </c>
      <c r="O59" s="483"/>
      <c r="P59" s="483"/>
      <c r="Q59" s="483"/>
      <c r="R59" s="483">
        <v>120</v>
      </c>
    </row>
    <row r="60" spans="1:18">
      <c r="N60" s="483" t="s">
        <v>2796</v>
      </c>
      <c r="O60" s="483"/>
      <c r="R60" s="483">
        <v>20</v>
      </c>
    </row>
    <row r="61" spans="1:18">
      <c r="N61" s="483" t="s">
        <v>5766</v>
      </c>
      <c r="O61" s="483"/>
      <c r="R61" s="483">
        <v>40</v>
      </c>
    </row>
    <row r="62" spans="1:18">
      <c r="N62" s="483" t="s">
        <v>5175</v>
      </c>
      <c r="O62" s="483"/>
      <c r="R62" s="483">
        <v>10.8</v>
      </c>
    </row>
    <row r="63" spans="1:18">
      <c r="N63" s="482"/>
      <c r="O63" s="482"/>
    </row>
    <row r="64" spans="1:18">
      <c r="N64" s="482" t="s">
        <v>5767</v>
      </c>
      <c r="O64" s="482"/>
    </row>
    <row r="65" spans="14:18">
      <c r="N65" s="483"/>
      <c r="O65" s="483"/>
      <c r="R65" s="483"/>
    </row>
    <row r="66" spans="14:18">
      <c r="N66" s="483" t="s">
        <v>5768</v>
      </c>
      <c r="O66" s="483"/>
      <c r="R66" s="483">
        <v>120</v>
      </c>
    </row>
    <row r="67" spans="14:18">
      <c r="N67" s="483" t="s">
        <v>2796</v>
      </c>
      <c r="O67" s="483"/>
      <c r="R67" s="483">
        <v>20</v>
      </c>
    </row>
    <row r="68" spans="14:18">
      <c r="N68" s="483" t="s">
        <v>5769</v>
      </c>
      <c r="O68" s="483"/>
      <c r="R68" s="483">
        <v>40</v>
      </c>
    </row>
    <row r="69" spans="14:18">
      <c r="N69" s="483" t="s">
        <v>5175</v>
      </c>
      <c r="O69" s="483"/>
      <c r="R69" s="483">
        <v>10.8</v>
      </c>
    </row>
    <row r="70" spans="14:18">
      <c r="N70" s="483"/>
      <c r="O70" s="483"/>
      <c r="R70" s="483"/>
    </row>
    <row r="71" spans="14:18">
      <c r="N71" s="482" t="s">
        <v>5735</v>
      </c>
      <c r="O71" s="482"/>
      <c r="R71" s="483"/>
    </row>
    <row r="72" spans="14:18">
      <c r="N72" s="483"/>
      <c r="O72" s="483"/>
      <c r="R72" s="483"/>
    </row>
    <row r="73" spans="14:18">
      <c r="N73" s="483" t="s">
        <v>5768</v>
      </c>
      <c r="O73" s="483"/>
      <c r="R73" s="483">
        <v>120</v>
      </c>
    </row>
    <row r="74" spans="14:18">
      <c r="N74" s="483" t="s">
        <v>2796</v>
      </c>
      <c r="O74" s="483"/>
      <c r="R74" s="483">
        <v>20</v>
      </c>
    </row>
    <row r="75" spans="14:18">
      <c r="N75" s="483" t="s">
        <v>5769</v>
      </c>
      <c r="O75" s="483"/>
      <c r="R75" s="483">
        <v>40</v>
      </c>
    </row>
    <row r="76" spans="14:18">
      <c r="N76" s="483" t="s">
        <v>5175</v>
      </c>
      <c r="O76" s="483"/>
      <c r="R76" s="483">
        <v>10.8</v>
      </c>
    </row>
    <row r="77" spans="14:18">
      <c r="N77" s="483"/>
      <c r="O77" s="483"/>
      <c r="R77" s="483"/>
    </row>
    <row r="78" spans="14:18">
      <c r="N78" s="482" t="s">
        <v>5770</v>
      </c>
      <c r="O78" s="482"/>
      <c r="R78" s="483"/>
    </row>
    <row r="79" spans="14:18">
      <c r="N79" s="483"/>
      <c r="O79" s="483"/>
      <c r="R79" s="483"/>
    </row>
    <row r="80" spans="14:18">
      <c r="N80" s="483" t="s">
        <v>5768</v>
      </c>
      <c r="O80" s="483"/>
      <c r="R80" s="483">
        <v>120</v>
      </c>
    </row>
    <row r="81" spans="14:21">
      <c r="N81" s="483" t="s">
        <v>2796</v>
      </c>
      <c r="O81" s="483"/>
      <c r="R81" s="483">
        <v>20</v>
      </c>
    </row>
    <row r="82" spans="14:21">
      <c r="N82" s="483" t="s">
        <v>5769</v>
      </c>
      <c r="O82" s="483"/>
      <c r="P82" s="483"/>
      <c r="Q82" s="483"/>
      <c r="R82" s="483">
        <v>40</v>
      </c>
    </row>
    <row r="83" spans="14:21">
      <c r="N83" s="483" t="s">
        <v>5175</v>
      </c>
      <c r="O83" s="483"/>
      <c r="P83" s="483"/>
      <c r="R83" s="483">
        <v>10.8</v>
      </c>
    </row>
    <row r="84" spans="14:21">
      <c r="N84" s="483"/>
      <c r="O84" s="483"/>
      <c r="P84" s="483"/>
      <c r="Q84" s="483"/>
      <c r="R84" s="483"/>
    </row>
    <row r="87" spans="14:21">
      <c r="N87" s="486"/>
      <c r="O87" s="483"/>
      <c r="P87" s="483"/>
      <c r="Q87" s="482" t="s">
        <v>5925</v>
      </c>
      <c r="R87" s="482"/>
      <c r="S87" s="483"/>
      <c r="T87" s="483"/>
      <c r="U87" s="483"/>
    </row>
    <row r="88" spans="14:21">
      <c r="N88" s="486"/>
      <c r="O88" s="483"/>
      <c r="P88" s="483"/>
      <c r="Q88" s="482"/>
      <c r="R88" s="482"/>
      <c r="S88" s="483"/>
      <c r="T88" s="483"/>
      <c r="U88" s="483"/>
    </row>
    <row r="89" spans="14:21">
      <c r="Q89" s="463" t="s">
        <v>5927</v>
      </c>
      <c r="R89" s="482"/>
      <c r="S89" s="483"/>
      <c r="T89" s="483"/>
      <c r="U89" s="483"/>
    </row>
    <row r="90" spans="14:21">
      <c r="N90" s="485" t="s">
        <v>5879</v>
      </c>
      <c r="O90" s="485" t="s">
        <v>5924</v>
      </c>
      <c r="P90" s="485"/>
      <c r="Q90" s="483" t="s">
        <v>4976</v>
      </c>
      <c r="R90" s="483"/>
      <c r="S90" s="483"/>
      <c r="T90" s="483"/>
      <c r="U90" s="483">
        <v>120</v>
      </c>
    </row>
    <row r="91" spans="14:21">
      <c r="N91" s="485"/>
      <c r="O91" s="483"/>
      <c r="P91" s="483"/>
      <c r="Q91" s="483" t="s">
        <v>2796</v>
      </c>
      <c r="T91" s="483"/>
      <c r="U91" s="483">
        <v>20</v>
      </c>
    </row>
    <row r="92" spans="14:21">
      <c r="N92" s="485"/>
      <c r="O92" s="483"/>
      <c r="P92" s="483"/>
      <c r="Q92" s="483" t="s">
        <v>5769</v>
      </c>
      <c r="T92" s="483"/>
      <c r="U92" s="483">
        <v>40</v>
      </c>
    </row>
    <row r="93" spans="14:21">
      <c r="N93" s="485"/>
      <c r="O93" s="483"/>
      <c r="P93" s="483"/>
      <c r="Q93" s="483" t="s">
        <v>5175</v>
      </c>
      <c r="T93" s="483"/>
      <c r="U93" s="483">
        <v>10.8</v>
      </c>
    </row>
    <row r="94" spans="14:21">
      <c r="N94" s="485"/>
      <c r="O94" s="483"/>
      <c r="P94" s="483"/>
      <c r="Q94" s="483"/>
      <c r="T94" s="483"/>
      <c r="U94" s="483"/>
    </row>
    <row r="95" spans="14:21">
      <c r="Q95" s="463" t="s">
        <v>5928</v>
      </c>
      <c r="R95" s="482"/>
    </row>
    <row r="96" spans="14:21">
      <c r="N96" s="485" t="s">
        <v>5879</v>
      </c>
      <c r="O96" s="485" t="s">
        <v>5926</v>
      </c>
      <c r="Q96" s="483" t="s">
        <v>4976</v>
      </c>
      <c r="R96" s="482"/>
      <c r="U96" s="483">
        <v>120</v>
      </c>
    </row>
    <row r="97" spans="14:21">
      <c r="N97" s="485"/>
      <c r="O97" s="485"/>
      <c r="P97" s="485"/>
      <c r="Q97" s="483" t="s">
        <v>2796</v>
      </c>
      <c r="R97" s="483"/>
      <c r="U97" s="483">
        <v>20</v>
      </c>
    </row>
    <row r="98" spans="14:21">
      <c r="O98" s="485"/>
      <c r="P98" s="485"/>
      <c r="Q98" s="483" t="s">
        <v>4754</v>
      </c>
      <c r="R98" s="483"/>
      <c r="U98" s="483">
        <v>40</v>
      </c>
    </row>
    <row r="99" spans="14:21">
      <c r="N99" s="485"/>
      <c r="O99" s="485"/>
      <c r="P99" s="485"/>
      <c r="Q99" s="483" t="s">
        <v>5175</v>
      </c>
      <c r="R99" s="483"/>
      <c r="U99" s="483">
        <v>10.8</v>
      </c>
    </row>
    <row r="100" spans="14:21">
      <c r="R100" s="483"/>
      <c r="U100" s="483"/>
    </row>
    <row r="101" spans="14:21">
      <c r="Q101" s="463" t="s">
        <v>5930</v>
      </c>
      <c r="R101" s="483"/>
      <c r="U101" s="483"/>
    </row>
    <row r="102" spans="14:21">
      <c r="N102" s="485" t="s">
        <v>5879</v>
      </c>
      <c r="O102" s="485" t="s">
        <v>5929</v>
      </c>
      <c r="Q102" s="483" t="s">
        <v>5768</v>
      </c>
      <c r="R102" s="483"/>
      <c r="U102" s="483">
        <v>120</v>
      </c>
    </row>
    <row r="103" spans="14:21">
      <c r="Q103" s="483" t="s">
        <v>2796</v>
      </c>
      <c r="R103" s="482"/>
      <c r="U103" s="483">
        <v>20</v>
      </c>
    </row>
    <row r="104" spans="14:21">
      <c r="Q104" s="483" t="s">
        <v>4754</v>
      </c>
      <c r="R104" s="483"/>
      <c r="U104" s="483">
        <v>40</v>
      </c>
    </row>
    <row r="105" spans="14:21">
      <c r="Q105" s="483" t="s">
        <v>5175</v>
      </c>
      <c r="R105" s="483"/>
      <c r="U105" s="483">
        <v>10.8</v>
      </c>
    </row>
    <row r="106" spans="14:21">
      <c r="Q106" s="482"/>
      <c r="R106" s="482"/>
      <c r="U106" s="483"/>
    </row>
    <row r="107" spans="14:21">
      <c r="Q107" s="463" t="s">
        <v>5931</v>
      </c>
      <c r="R107" s="483"/>
      <c r="U107" s="483"/>
    </row>
    <row r="108" spans="14:21">
      <c r="N108" s="485" t="s">
        <v>5879</v>
      </c>
      <c r="O108" s="485" t="s">
        <v>5932</v>
      </c>
      <c r="P108" s="485"/>
      <c r="Q108" s="483" t="s">
        <v>5768</v>
      </c>
      <c r="R108" s="483"/>
      <c r="U108" s="483">
        <v>120</v>
      </c>
    </row>
    <row r="109" spans="14:21">
      <c r="Q109" s="483" t="s">
        <v>2796</v>
      </c>
      <c r="R109" s="483"/>
      <c r="U109" s="483">
        <v>20</v>
      </c>
    </row>
    <row r="110" spans="14:21">
      <c r="N110" s="485"/>
      <c r="O110" s="485"/>
      <c r="P110" s="485"/>
      <c r="Q110" s="483" t="s">
        <v>4754</v>
      </c>
      <c r="R110" s="483"/>
      <c r="S110" s="483"/>
      <c r="T110" s="483"/>
      <c r="U110" s="483">
        <v>40</v>
      </c>
    </row>
    <row r="111" spans="14:21">
      <c r="N111" s="121"/>
      <c r="O111" s="483"/>
      <c r="P111" s="483"/>
      <c r="Q111" s="483" t="s">
        <v>5175</v>
      </c>
      <c r="R111" s="483"/>
      <c r="S111" s="483"/>
      <c r="U111" s="483">
        <v>10.8</v>
      </c>
    </row>
  </sheetData>
  <mergeCells count="4">
    <mergeCell ref="A1:H1"/>
    <mergeCell ref="A2:H2"/>
    <mergeCell ref="A3:H3"/>
    <mergeCell ref="A4:H4"/>
  </mergeCells>
  <printOptions horizontalCentered="1"/>
  <pageMargins left="0.55118110236220474" right="0.55118110236220474" top="0.78740157480314965" bottom="0.98425196850393704" header="0.51181102362204722" footer="0.51181102362204722"/>
  <pageSetup paperSize="9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27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42578125" style="111" customWidth="1"/>
    <col min="2" max="2" width="11.85546875" style="111" customWidth="1"/>
    <col min="3" max="3" width="21" style="111" customWidth="1"/>
    <col min="4" max="4" width="16.42578125" style="111" customWidth="1"/>
    <col min="5" max="5" width="12.5703125" style="111" customWidth="1"/>
    <col min="6" max="6" width="13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1716</v>
      </c>
      <c r="E9" s="111" t="s">
        <v>4094</v>
      </c>
    </row>
    <row r="10" spans="1:6">
      <c r="A10" s="111" t="s">
        <v>4096</v>
      </c>
      <c r="D10" s="112" t="s">
        <v>1162</v>
      </c>
      <c r="E10" s="123" t="s">
        <v>4093</v>
      </c>
    </row>
    <row r="11" spans="1:6">
      <c r="A11" s="111" t="s">
        <v>4097</v>
      </c>
      <c r="D11" s="112" t="s">
        <v>1163</v>
      </c>
      <c r="E11" s="112" t="s">
        <v>1094</v>
      </c>
    </row>
    <row r="12" spans="1:6">
      <c r="A12" s="111" t="s">
        <v>3504</v>
      </c>
      <c r="D12" s="112" t="s">
        <v>1096</v>
      </c>
      <c r="E12" s="112" t="s">
        <v>4095</v>
      </c>
    </row>
    <row r="13" spans="1:6">
      <c r="A13" s="111" t="s">
        <v>1879</v>
      </c>
    </row>
    <row r="14" spans="1:6">
      <c r="A14" s="111" t="s">
        <v>4098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8" spans="1:6">
      <c r="C18" s="2" t="s">
        <v>3572</v>
      </c>
    </row>
    <row r="20" spans="1:6">
      <c r="A20" s="116" t="s">
        <v>4002</v>
      </c>
      <c r="B20" s="116" t="s">
        <v>4099</v>
      </c>
      <c r="C20" s="111" t="s">
        <v>4100</v>
      </c>
      <c r="F20" s="111">
        <v>150</v>
      </c>
    </row>
    <row r="22" spans="1:6">
      <c r="C22" s="2"/>
    </row>
    <row r="24" spans="1:6">
      <c r="A24" s="116"/>
      <c r="B24" s="116"/>
    </row>
    <row r="31" spans="1:6">
      <c r="B31" s="120"/>
    </row>
    <row r="32" spans="1:6">
      <c r="B32" s="120"/>
    </row>
    <row r="33" spans="1:6">
      <c r="B33" s="120"/>
    </row>
    <row r="35" spans="1:6" ht="13.5" thickBot="1">
      <c r="F35" s="127">
        <f>SUM(F18:F34)</f>
        <v>150</v>
      </c>
    </row>
    <row r="36" spans="1:6" ht="13.5" thickTop="1"/>
    <row r="37" spans="1:6" ht="20.100000000000001" customHeight="1">
      <c r="A37" s="118" t="s">
        <v>1717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Hundred Fifty and NO/100 -----------</v>
      </c>
      <c r="C37" s="119"/>
      <c r="D37" s="119"/>
      <c r="E37" s="119"/>
      <c r="F37" s="119"/>
    </row>
    <row r="38" spans="1:6">
      <c r="A38" s="120"/>
      <c r="F38" s="316"/>
    </row>
    <row r="39" spans="1:6" ht="25.5">
      <c r="A39" s="140" t="s">
        <v>3608</v>
      </c>
      <c r="D39" s="265" t="s">
        <v>2894</v>
      </c>
      <c r="E39" s="266"/>
      <c r="F39" s="267"/>
    </row>
    <row r="40" spans="1:6">
      <c r="A40" s="131"/>
    </row>
    <row r="41" spans="1:6">
      <c r="A41" s="86"/>
    </row>
    <row r="42" spans="1:6">
      <c r="A42" s="131"/>
    </row>
    <row r="43" spans="1:6">
      <c r="A43" s="142"/>
      <c r="B43" s="122"/>
      <c r="C43" s="121"/>
      <c r="D43" s="309"/>
      <c r="E43" s="309"/>
      <c r="F43" s="309"/>
    </row>
    <row r="44" spans="1:6">
      <c r="A44" s="86"/>
      <c r="D44" s="310"/>
      <c r="E44" s="311"/>
      <c r="F44" s="311"/>
    </row>
    <row r="45" spans="1:6">
      <c r="A45" s="143" t="s">
        <v>8</v>
      </c>
      <c r="D45" s="143" t="s">
        <v>7</v>
      </c>
    </row>
    <row r="46" spans="1:6">
      <c r="A46" s="131"/>
    </row>
    <row r="47" spans="1:6">
      <c r="A47" s="131"/>
    </row>
    <row r="48" spans="1:6">
      <c r="A48" s="131"/>
    </row>
    <row r="49" spans="1:6">
      <c r="A49" s="142"/>
      <c r="B49" s="122"/>
      <c r="D49" s="122"/>
      <c r="E49" s="122"/>
      <c r="F49" s="122"/>
    </row>
    <row r="50" spans="1:6" s="126" customFormat="1" ht="17.100000000000001" customHeight="1">
      <c r="A50" s="131" t="s">
        <v>2948</v>
      </c>
      <c r="B50" s="125"/>
      <c r="D50" s="126" t="s">
        <v>3</v>
      </c>
    </row>
    <row r="51" spans="1:6">
      <c r="A51" s="131"/>
      <c r="D51" s="111" t="s">
        <v>2</v>
      </c>
    </row>
    <row r="52" spans="1:6">
      <c r="A52" s="123"/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263">
    <pageSetUpPr fitToPage="1"/>
  </sheetPr>
  <dimension ref="A1:F56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2869</v>
      </c>
      <c r="F9" s="111"/>
    </row>
    <row r="10" spans="1:6">
      <c r="A10" s="111" t="s">
        <v>2783</v>
      </c>
      <c r="B10" s="111"/>
      <c r="C10" s="111"/>
      <c r="D10" s="112" t="s">
        <v>1162</v>
      </c>
      <c r="E10" s="112" t="s">
        <v>2867</v>
      </c>
      <c r="F10" s="111"/>
    </row>
    <row r="11" spans="1:6">
      <c r="A11" s="111" t="s">
        <v>1092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2782</v>
      </c>
      <c r="B12" s="111"/>
      <c r="C12" s="111"/>
      <c r="D12" s="112" t="s">
        <v>1096</v>
      </c>
      <c r="E12" s="112" t="s">
        <v>2866</v>
      </c>
      <c r="F12" s="111"/>
    </row>
    <row r="13" spans="1:6">
      <c r="A13" s="111"/>
      <c r="B13" s="111"/>
      <c r="C13" s="111"/>
      <c r="D13" s="111"/>
      <c r="E13" s="112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B18" s="116"/>
      <c r="C18" s="2" t="s">
        <v>1099</v>
      </c>
      <c r="D18" s="111"/>
      <c r="E18" s="111"/>
      <c r="F18" s="111"/>
    </row>
    <row r="19" spans="1:6">
      <c r="A19" s="111"/>
      <c r="B19" s="111"/>
      <c r="C19" s="2" t="s">
        <v>2779</v>
      </c>
      <c r="D19" s="111"/>
      <c r="E19" s="111"/>
      <c r="F19" s="111"/>
    </row>
    <row r="20" spans="1:6">
      <c r="A20" s="173"/>
      <c r="B20" s="111"/>
      <c r="D20" s="111"/>
      <c r="E20" s="111"/>
      <c r="F20" s="111"/>
    </row>
    <row r="21" spans="1:6">
      <c r="A21" s="166" t="s">
        <v>2780</v>
      </c>
      <c r="B21" s="111"/>
      <c r="C21" s="111" t="s">
        <v>1616</v>
      </c>
      <c r="D21" s="111"/>
      <c r="E21" s="111"/>
      <c r="F21" s="111"/>
    </row>
    <row r="22" spans="1:6">
      <c r="A22" s="174"/>
      <c r="B22" s="111"/>
      <c r="C22" s="111" t="s">
        <v>2868</v>
      </c>
      <c r="D22" s="111"/>
      <c r="E22" s="111"/>
      <c r="F22" s="111">
        <v>191.95</v>
      </c>
    </row>
    <row r="23" spans="1:6">
      <c r="A23" s="173"/>
      <c r="B23" s="111"/>
      <c r="C23" s="111"/>
      <c r="D23" s="111"/>
      <c r="E23" s="111"/>
      <c r="F23" s="111"/>
    </row>
    <row r="24" spans="1:6">
      <c r="C24" s="111"/>
      <c r="F24" s="111"/>
    </row>
    <row r="25" spans="1:6">
      <c r="C25" s="111"/>
      <c r="F25" s="111"/>
    </row>
    <row r="26" spans="1:6">
      <c r="C26" s="111"/>
      <c r="F26" s="111"/>
    </row>
    <row r="27" spans="1:6">
      <c r="A27" s="174"/>
      <c r="B27" s="111"/>
      <c r="C27" s="111"/>
      <c r="D27" s="111"/>
      <c r="E27" s="111"/>
      <c r="F27" s="111"/>
    </row>
    <row r="28" spans="1:6">
      <c r="A28" s="173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  <c r="F32" s="111"/>
    </row>
    <row r="33" spans="1:6">
      <c r="A33" s="111"/>
      <c r="B33" s="111"/>
      <c r="C33" s="111"/>
      <c r="D33" s="111"/>
      <c r="E33" s="111"/>
      <c r="F33" s="111"/>
    </row>
    <row r="34" spans="1:6">
      <c r="A34" s="111"/>
      <c r="B34" s="111"/>
      <c r="C34" s="111"/>
      <c r="D34" s="111"/>
      <c r="E34" s="111"/>
    </row>
    <row r="35" spans="1:6" ht="13.5" thickBot="1">
      <c r="A35" s="111"/>
      <c r="B35" s="111"/>
      <c r="C35" s="111"/>
      <c r="D35" s="111"/>
      <c r="E35" s="111"/>
      <c r="F35" s="117">
        <f>SUM(F21:F34)</f>
        <v>191.95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Hundred Ninety-One and 95/100 -----------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A44" s="111"/>
      <c r="B44" s="111"/>
      <c r="C44" s="111"/>
      <c r="D44" s="111"/>
      <c r="E44" s="111"/>
      <c r="F44" s="111"/>
    </row>
    <row r="45" spans="1:6">
      <c r="A45" s="123" t="s">
        <v>8</v>
      </c>
      <c r="B45" s="111"/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319">
    <pageSetUpPr fitToPage="1"/>
  </sheetPr>
  <dimension ref="A1:F56"/>
  <sheetViews>
    <sheetView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23" style="1" customWidth="1"/>
    <col min="4" max="4" width="13.8554687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/>
      <c r="F9" s="111"/>
    </row>
    <row r="10" spans="1:6">
      <c r="A10" s="111" t="s">
        <v>3090</v>
      </c>
      <c r="B10" s="111"/>
      <c r="C10" s="111"/>
      <c r="D10" s="112" t="s">
        <v>1162</v>
      </c>
      <c r="E10" s="112" t="s">
        <v>3379</v>
      </c>
      <c r="F10" s="111"/>
    </row>
    <row r="11" spans="1:6">
      <c r="A11" s="111" t="s">
        <v>3091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3092</v>
      </c>
      <c r="B12" s="111"/>
      <c r="C12" s="111"/>
      <c r="D12" s="112" t="s">
        <v>1135</v>
      </c>
      <c r="E12" s="112"/>
      <c r="F12" s="111"/>
    </row>
    <row r="13" spans="1:6">
      <c r="A13" s="111"/>
      <c r="B13" s="111"/>
      <c r="C13" s="111"/>
      <c r="D13" s="111"/>
      <c r="E13" s="13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A18" s="148"/>
      <c r="B18" s="111"/>
      <c r="C18" s="2"/>
      <c r="D18" s="111"/>
      <c r="E18" s="111"/>
      <c r="F18" s="111"/>
    </row>
    <row r="19" spans="1:6">
      <c r="A19" s="111"/>
      <c r="B19" s="111"/>
      <c r="C19" s="2" t="s">
        <v>3095</v>
      </c>
      <c r="D19" s="111"/>
      <c r="E19" s="111"/>
      <c r="F19" s="111"/>
    </row>
    <row r="20" spans="1:6">
      <c r="B20" s="120"/>
      <c r="C20" s="2" t="s">
        <v>3093</v>
      </c>
      <c r="D20" s="111"/>
      <c r="E20" s="111"/>
      <c r="F20" s="111"/>
    </row>
    <row r="21" spans="1:6">
      <c r="A21" s="159"/>
      <c r="C21" s="2"/>
    </row>
    <row r="22" spans="1:6">
      <c r="A22" s="252"/>
      <c r="C22" s="111" t="s">
        <v>3094</v>
      </c>
      <c r="F22" s="111">
        <f>19*5</f>
        <v>95</v>
      </c>
    </row>
    <row r="23" spans="1:6">
      <c r="A23" s="148"/>
      <c r="C23" s="111"/>
      <c r="D23" s="111"/>
      <c r="E23" s="111"/>
      <c r="F23" s="111"/>
    </row>
    <row r="24" spans="1:6">
      <c r="B24" s="120"/>
      <c r="C24" s="111"/>
      <c r="D24" s="111"/>
      <c r="E24" s="111"/>
      <c r="F24" s="111"/>
    </row>
    <row r="25" spans="1:6">
      <c r="B25" s="111"/>
      <c r="C25" s="111"/>
      <c r="F25" s="111"/>
    </row>
    <row r="26" spans="1:6">
      <c r="A26" s="148"/>
      <c r="B26" s="111"/>
      <c r="C26" s="111"/>
      <c r="F26" s="111"/>
    </row>
    <row r="27" spans="1:6">
      <c r="A27" s="148"/>
      <c r="B27" s="111"/>
      <c r="C27" s="111"/>
      <c r="F27" s="111"/>
    </row>
    <row r="28" spans="1:6">
      <c r="A28" s="148"/>
      <c r="B28" s="111"/>
      <c r="C28" s="2"/>
      <c r="F28" s="111"/>
    </row>
    <row r="29" spans="1:6">
      <c r="A29" s="159"/>
      <c r="B29" s="111"/>
      <c r="C29" s="2"/>
      <c r="F29" s="111"/>
    </row>
    <row r="30" spans="1:6">
      <c r="A30" s="252"/>
      <c r="B30" s="111"/>
      <c r="C30" s="111"/>
      <c r="F30" s="111"/>
    </row>
    <row r="31" spans="1:6">
      <c r="A31" s="148"/>
      <c r="B31" s="111"/>
      <c r="C31" s="111"/>
      <c r="F31" s="111"/>
    </row>
    <row r="32" spans="1:6">
      <c r="B32" s="111"/>
      <c r="C32" s="111"/>
      <c r="F32" s="111"/>
    </row>
    <row r="33" spans="1:6">
      <c r="B33" s="111"/>
      <c r="C33" s="111"/>
      <c r="F33" s="111"/>
    </row>
    <row r="34" spans="1:6">
      <c r="A34" s="148"/>
      <c r="C34" s="111"/>
      <c r="F34" s="111"/>
    </row>
    <row r="35" spans="1:6" ht="13.5" thickBot="1">
      <c r="A35" s="111"/>
      <c r="B35" s="111"/>
      <c r="C35" s="111"/>
      <c r="D35" s="111"/>
      <c r="E35" s="111"/>
      <c r="F35" s="127">
        <f>SUM(F19:F34)</f>
        <v>95</v>
      </c>
    </row>
    <row r="36" spans="1:6" ht="13.5" thickTop="1">
      <c r="A36" s="126"/>
      <c r="B36" s="111"/>
      <c r="C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Ninety-Five and NO/100 -----------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5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B44" s="111"/>
      <c r="C44" s="111"/>
      <c r="D44" s="111"/>
      <c r="E44" s="111"/>
      <c r="F44" s="111"/>
    </row>
    <row r="45" spans="1:6">
      <c r="A45" s="123" t="s">
        <v>8</v>
      </c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20">
    <pageSetUpPr fitToPage="1"/>
  </sheetPr>
  <dimension ref="A1:G53"/>
  <sheetViews>
    <sheetView topLeftCell="A4" workbookViewId="0">
      <selection activeCell="G9" sqref="G9:G13"/>
    </sheetView>
  </sheetViews>
  <sheetFormatPr defaultRowHeight="12.75"/>
  <cols>
    <col min="1" max="1" width="15.42578125" style="111" customWidth="1"/>
    <col min="2" max="2" width="14.5703125" style="111" customWidth="1"/>
    <col min="3" max="3" width="23" style="111" customWidth="1"/>
    <col min="4" max="4" width="12.85546875" style="111" customWidth="1"/>
    <col min="5" max="5" width="8.85546875" style="111" customWidth="1"/>
    <col min="6" max="6" width="13.57031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31" t="s">
        <v>3659</v>
      </c>
    </row>
    <row r="10" spans="1:6">
      <c r="A10" s="111" t="s">
        <v>3191</v>
      </c>
      <c r="D10" s="112" t="s">
        <v>1162</v>
      </c>
      <c r="E10" s="143" t="s">
        <v>3656</v>
      </c>
    </row>
    <row r="11" spans="1:6">
      <c r="A11" s="111" t="s">
        <v>3192</v>
      </c>
      <c r="D11" s="112" t="s">
        <v>1187</v>
      </c>
      <c r="E11" s="132" t="s">
        <v>1094</v>
      </c>
    </row>
    <row r="12" spans="1:6">
      <c r="A12" s="111" t="s">
        <v>3193</v>
      </c>
      <c r="D12" s="112" t="s">
        <v>1188</v>
      </c>
      <c r="E12" s="140" t="s">
        <v>3660</v>
      </c>
    </row>
    <row r="13" spans="1:6">
      <c r="A13" s="111" t="s">
        <v>2758</v>
      </c>
      <c r="E13" s="131"/>
    </row>
    <row r="14" spans="1:6">
      <c r="A14" s="111" t="s">
        <v>3194</v>
      </c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8" spans="1:7">
      <c r="C18" s="2" t="s">
        <v>3664</v>
      </c>
      <c r="G18" s="1"/>
    </row>
    <row r="19" spans="1:7">
      <c r="A19" s="173"/>
      <c r="C19" s="2"/>
      <c r="G19" s="1"/>
    </row>
    <row r="20" spans="1:7">
      <c r="A20" s="174" t="s">
        <v>3661</v>
      </c>
      <c r="B20" s="116" t="s">
        <v>3662</v>
      </c>
      <c r="C20" s="111" t="s">
        <v>3663</v>
      </c>
      <c r="F20" s="111">
        <v>1350</v>
      </c>
      <c r="G20" s="1"/>
    </row>
    <row r="21" spans="1:7">
      <c r="A21" s="173"/>
      <c r="C21" s="111" t="s">
        <v>1814</v>
      </c>
      <c r="F21" s="111">
        <f>F20*6%</f>
        <v>81</v>
      </c>
      <c r="G21" s="1"/>
    </row>
    <row r="22" spans="1:7">
      <c r="A22" s="173"/>
      <c r="G22" s="1"/>
    </row>
    <row r="23" spans="1:7">
      <c r="A23" s="116"/>
      <c r="B23" s="121"/>
      <c r="C23" s="2" t="s">
        <v>3437</v>
      </c>
      <c r="G23" s="1"/>
    </row>
    <row r="24" spans="1:7">
      <c r="A24" s="173"/>
      <c r="G24" s="86"/>
    </row>
    <row r="25" spans="1:7">
      <c r="A25" s="174" t="s">
        <v>3655</v>
      </c>
      <c r="B25" s="116" t="s">
        <v>3665</v>
      </c>
      <c r="C25" s="111" t="s">
        <v>3666</v>
      </c>
      <c r="D25" s="131"/>
      <c r="E25" s="131"/>
      <c r="F25" s="131">
        <v>450</v>
      </c>
      <c r="G25" s="86"/>
    </row>
    <row r="26" spans="1:7">
      <c r="A26" s="173"/>
      <c r="C26" s="111" t="s">
        <v>1814</v>
      </c>
      <c r="F26" s="111">
        <f>F25*6%</f>
        <v>27</v>
      </c>
    </row>
    <row r="27" spans="1:7">
      <c r="A27" s="173"/>
    </row>
    <row r="28" spans="1:7">
      <c r="A28" s="116"/>
      <c r="B28" s="116"/>
      <c r="C28" s="120"/>
    </row>
    <row r="31" spans="1:7">
      <c r="B31" s="120"/>
    </row>
    <row r="32" spans="1:7">
      <c r="A32" s="116"/>
      <c r="B32" s="116"/>
      <c r="C32" s="120"/>
    </row>
    <row r="34" spans="1:6" ht="13.5" thickBot="1">
      <c r="F34" s="127">
        <f>SUM(F19:F33)</f>
        <v>1908</v>
      </c>
    </row>
    <row r="35" spans="1:6" ht="13.5" thickTop="1"/>
    <row r="36" spans="1:6" ht="20.100000000000001" customHeight="1">
      <c r="A36" s="118" t="s">
        <v>204</v>
      </c>
      <c r="B36" s="202" t="str">
        <f>IF(OR(F34&gt;1000000,F34&lt;=0),"",IF(F34&lt;1000,"",IF(MOD(F34,1000000)&gt;=100000,INDEX(numbers,TRUNC(MOD(F34,1000000)/100000,0)+1)&amp;" Hundred","")&amp;IF(MOD(F34,100000)&gt;=20000," "&amp;INDEX(tens,TRUNC(MOD(F34,100000)/10000,0)+1)&amp;IF(MOD(MOD(F34,100000),10000)&gt;=1000,"-"&amp;INDEX(numbers,TRUNC(MOD(MOD(F34,100000),10000)/1000,0)+1),""),IF(MOD(F34,100000)&gt;=1000," "&amp;INDEX(numbers,TRUNC(MOD(F34,100000)/1000,0)+1),""))&amp;" Thousand") &amp; IF(F34&lt;1,"Zero Dollars",IF(MOD(F34,1000)&gt;=100," "&amp;INDEX(numbers,TRUNC(MOD(F34,1000)/100,0)+1)&amp;" Hundred","")&amp;IF(MOD(F34,100)&gt;=20," "&amp;INDEX(tens,TRUNC(MOD(F34,100)/10,0)+1)&amp;IF(MOD(MOD(F34,100),10)&gt;=1,"-"&amp;INDEX(numbers,TRUNC(MOD(MOD(F34,100),10),0)+1),""),IF(MOD(F34,100)&gt;=1," "&amp;INDEX(numbers,TRUNC(MOD(F34,100),0)+1),""))&amp;"") &amp; " and " &amp; IF(MOD(F34,1)&lt;0.005,"NO",ROUND(MOD(F34,1)*100,0)) &amp; "/100 -----------")</f>
        <v xml:space="preserve"> One Thousand Nine Hundred Eight and NO/100 -----------</v>
      </c>
      <c r="C36" s="119"/>
      <c r="D36" s="119"/>
      <c r="E36" s="119"/>
      <c r="F36" s="261"/>
    </row>
    <row r="37" spans="1:6">
      <c r="A37" s="120"/>
      <c r="F37" s="263"/>
    </row>
    <row r="38" spans="1:6" ht="25.5">
      <c r="A38" s="111" t="s">
        <v>10</v>
      </c>
      <c r="D38" s="265" t="s">
        <v>2894</v>
      </c>
      <c r="E38" s="266"/>
      <c r="F38" s="267"/>
    </row>
    <row r="39" spans="1:6">
      <c r="A39" s="126"/>
    </row>
    <row r="41" spans="1:6">
      <c r="C41" s="121"/>
    </row>
    <row r="42" spans="1:6">
      <c r="A42" s="122"/>
      <c r="B42" s="122"/>
    </row>
    <row r="43" spans="1:6">
      <c r="D43" s="123" t="s">
        <v>7</v>
      </c>
    </row>
    <row r="44" spans="1:6">
      <c r="A44" s="123" t="s">
        <v>8</v>
      </c>
      <c r="F44" s="124"/>
    </row>
    <row r="48" spans="1:6">
      <c r="A48" s="122"/>
      <c r="B48" s="122"/>
      <c r="D48" s="122"/>
      <c r="E48" s="122"/>
      <c r="F48" s="122"/>
    </row>
    <row r="49" spans="1:4" s="126" customFormat="1" ht="17.100000000000001" customHeight="1">
      <c r="A49" s="151" t="s">
        <v>2948</v>
      </c>
      <c r="B49" s="125"/>
      <c r="D49" s="126" t="s">
        <v>3</v>
      </c>
    </row>
    <row r="50" spans="1:4">
      <c r="A50" s="151"/>
      <c r="D50" s="111" t="s">
        <v>2</v>
      </c>
    </row>
    <row r="52" spans="1:4">
      <c r="D52" s="2" t="s">
        <v>1</v>
      </c>
    </row>
    <row r="53" spans="1:4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321">
    <pageSetUpPr fitToPage="1"/>
  </sheetPr>
  <dimension ref="A1:H70"/>
  <sheetViews>
    <sheetView workbookViewId="0">
      <selection activeCell="G9" sqref="G9:G13"/>
    </sheetView>
  </sheetViews>
  <sheetFormatPr defaultRowHeight="12.75"/>
  <cols>
    <col min="1" max="1" width="15.85546875" style="86" customWidth="1"/>
    <col min="2" max="2" width="15.28515625" style="86" customWidth="1"/>
    <col min="3" max="3" width="0.5703125" style="86" customWidth="1"/>
    <col min="4" max="4" width="21" style="86" customWidth="1"/>
    <col min="5" max="5" width="0.85546875" style="86" customWidth="1"/>
    <col min="6" max="6" width="16.42578125" style="86" customWidth="1"/>
    <col min="7" max="7" width="10.140625" style="86" customWidth="1"/>
    <col min="8" max="8" width="13.28515625" style="86" customWidth="1"/>
    <col min="9" max="16384" width="9.140625" style="86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6" spans="1:8" s="131" customFormat="1">
      <c r="C6" s="488"/>
      <c r="E6" s="488"/>
    </row>
    <row r="7" spans="1:8" s="131" customFormat="1">
      <c r="C7" s="488"/>
      <c r="E7" s="488"/>
    </row>
    <row r="8" spans="1:8" s="131" customFormat="1">
      <c r="A8" s="131" t="s">
        <v>24</v>
      </c>
      <c r="C8" s="488"/>
      <c r="E8" s="488"/>
      <c r="F8" s="87" t="s">
        <v>23</v>
      </c>
    </row>
    <row r="9" spans="1:8" s="131" customFormat="1">
      <c r="C9" s="488"/>
      <c r="E9" s="488"/>
      <c r="F9" s="132" t="s">
        <v>1110</v>
      </c>
      <c r="G9" s="489" t="s">
        <v>6447</v>
      </c>
    </row>
    <row r="10" spans="1:8" s="131" customFormat="1">
      <c r="A10" s="131" t="s">
        <v>3184</v>
      </c>
      <c r="C10" s="488"/>
      <c r="E10" s="488"/>
      <c r="F10" s="132" t="s">
        <v>1162</v>
      </c>
      <c r="G10" s="489" t="s">
        <v>6442</v>
      </c>
    </row>
    <row r="11" spans="1:8" s="131" customFormat="1">
      <c r="A11" s="131" t="s">
        <v>3185</v>
      </c>
      <c r="C11" s="488"/>
      <c r="E11" s="488"/>
      <c r="F11" s="132" t="s">
        <v>1163</v>
      </c>
      <c r="G11" s="489" t="s">
        <v>1094</v>
      </c>
    </row>
    <row r="12" spans="1:8" s="131" customFormat="1">
      <c r="A12" s="131" t="s">
        <v>3186</v>
      </c>
      <c r="C12" s="488"/>
      <c r="E12" s="488"/>
      <c r="F12" s="132" t="s">
        <v>1096</v>
      </c>
      <c r="G12" s="483" t="s">
        <v>6448</v>
      </c>
    </row>
    <row r="13" spans="1:8" s="131" customFormat="1">
      <c r="A13" s="131" t="s">
        <v>1154</v>
      </c>
      <c r="C13" s="488"/>
      <c r="E13" s="488"/>
      <c r="G13" s="483" t="s">
        <v>6182</v>
      </c>
    </row>
    <row r="14" spans="1:8" s="131" customFormat="1">
      <c r="A14" s="131" t="s">
        <v>3187</v>
      </c>
      <c r="C14" s="488"/>
      <c r="E14" s="488"/>
    </row>
    <row r="15" spans="1:8" s="131" customFormat="1">
      <c r="C15" s="488"/>
      <c r="E15" s="488"/>
    </row>
    <row r="16" spans="1:8" s="95" customFormat="1" ht="20.100000000000001" customHeight="1">
      <c r="A16" s="90" t="s">
        <v>1113</v>
      </c>
      <c r="B16" s="90" t="s">
        <v>1114</v>
      </c>
      <c r="C16" s="90"/>
      <c r="D16" s="92" t="s">
        <v>14</v>
      </c>
      <c r="E16" s="92"/>
      <c r="F16" s="90"/>
      <c r="G16" s="93"/>
      <c r="H16" s="94" t="s">
        <v>13</v>
      </c>
    </row>
    <row r="17" spans="1:8" s="95" customFormat="1">
      <c r="A17" s="294"/>
      <c r="B17" s="294"/>
      <c r="C17" s="294"/>
      <c r="D17" s="295"/>
      <c r="E17" s="295"/>
      <c r="F17" s="294"/>
      <c r="G17" s="296"/>
      <c r="H17" s="297"/>
    </row>
    <row r="18" spans="1:8" s="95" customFormat="1">
      <c r="A18" s="294"/>
      <c r="B18" s="294"/>
      <c r="C18" s="294"/>
      <c r="D18" s="95" t="s">
        <v>3176</v>
      </c>
      <c r="F18" s="294"/>
      <c r="G18" s="296"/>
      <c r="H18" s="297"/>
    </row>
    <row r="19" spans="1:8" s="131" customFormat="1">
      <c r="C19" s="488"/>
      <c r="E19" s="488"/>
    </row>
    <row r="20" spans="1:8" s="131" customFormat="1">
      <c r="A20" s="492" t="s">
        <v>6446</v>
      </c>
      <c r="B20" s="131" t="s">
        <v>6449</v>
      </c>
      <c r="C20" s="488"/>
      <c r="D20" s="131" t="s">
        <v>6450</v>
      </c>
      <c r="E20" s="488"/>
      <c r="H20" s="131">
        <v>2000</v>
      </c>
    </row>
    <row r="21" spans="1:8" s="131" customFormat="1">
      <c r="C21" s="488"/>
      <c r="D21" s="131" t="s">
        <v>6451</v>
      </c>
      <c r="E21" s="488"/>
      <c r="H21" s="131">
        <f>225*3*2</f>
        <v>1350</v>
      </c>
    </row>
    <row r="22" spans="1:8" s="131" customFormat="1">
      <c r="C22" s="488"/>
      <c r="D22" s="488" t="s">
        <v>5477</v>
      </c>
      <c r="E22" s="488"/>
      <c r="F22" s="488"/>
      <c r="G22" s="488"/>
      <c r="H22" s="488">
        <f>225*2*6</f>
        <v>2700</v>
      </c>
    </row>
    <row r="23" spans="1:8" s="131" customFormat="1">
      <c r="A23" s="158"/>
      <c r="B23" s="141"/>
      <c r="C23" s="141"/>
      <c r="D23" s="488" t="s">
        <v>6452</v>
      </c>
      <c r="E23" s="488"/>
      <c r="F23" s="488"/>
      <c r="G23" s="488"/>
      <c r="H23" s="488">
        <f>108*2</f>
        <v>216</v>
      </c>
    </row>
    <row r="24" spans="1:8" s="131" customFormat="1">
      <c r="C24" s="488"/>
      <c r="D24" s="488"/>
      <c r="E24" s="488"/>
      <c r="F24" s="488"/>
      <c r="G24" s="488"/>
      <c r="H24" s="488"/>
    </row>
    <row r="25" spans="1:8" s="131" customFormat="1">
      <c r="C25" s="488"/>
      <c r="D25" s="488"/>
      <c r="E25" s="488"/>
      <c r="F25" s="488"/>
      <c r="G25" s="488"/>
      <c r="H25" s="488"/>
    </row>
    <row r="26" spans="1:8" s="131" customFormat="1">
      <c r="C26" s="488"/>
      <c r="E26" s="488"/>
    </row>
    <row r="27" spans="1:8" s="131" customFormat="1">
      <c r="C27" s="488"/>
      <c r="E27" s="488"/>
    </row>
    <row r="28" spans="1:8" s="131" customFormat="1">
      <c r="C28" s="488"/>
      <c r="E28" s="488"/>
    </row>
    <row r="29" spans="1:8" s="131" customFormat="1">
      <c r="C29" s="488"/>
      <c r="E29" s="488"/>
    </row>
    <row r="30" spans="1:8" s="131" customFormat="1">
      <c r="C30" s="488"/>
      <c r="E30" s="488"/>
    </row>
    <row r="31" spans="1:8" s="131" customFormat="1">
      <c r="C31" s="488"/>
      <c r="E31" s="488"/>
    </row>
    <row r="32" spans="1:8" s="131" customFormat="1">
      <c r="C32" s="488"/>
      <c r="E32" s="488"/>
    </row>
    <row r="33" spans="1:8" s="131" customFormat="1">
      <c r="C33" s="488"/>
      <c r="E33" s="488"/>
    </row>
    <row r="34" spans="1:8" s="131" customFormat="1" ht="13.5" thickBot="1">
      <c r="C34" s="488"/>
      <c r="E34" s="488"/>
      <c r="H34" s="164">
        <f>SUM(H19:H32)</f>
        <v>6266</v>
      </c>
    </row>
    <row r="35" spans="1:8" s="131" customFormat="1" ht="13.5" thickTop="1">
      <c r="C35" s="488"/>
      <c r="E35" s="488"/>
    </row>
    <row r="36" spans="1:8" s="131" customFormat="1" ht="20.100000000000001" customHeight="1">
      <c r="A36" s="138" t="s">
        <v>204</v>
      </c>
      <c r="B36" s="204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 xml:space="preserve"> Six Thousand Two Hundred Sixty-Six and NO/100 -----------</v>
      </c>
      <c r="C36" s="204"/>
      <c r="D36" s="139"/>
      <c r="E36" s="139"/>
      <c r="F36" s="262"/>
      <c r="G36" s="262"/>
      <c r="H36" s="262"/>
    </row>
    <row r="37" spans="1:8" s="131" customFormat="1">
      <c r="A37" s="140" t="s">
        <v>11</v>
      </c>
      <c r="C37" s="488"/>
      <c r="E37" s="488"/>
    </row>
    <row r="38" spans="1:8" s="131" customFormat="1" ht="25.5">
      <c r="A38" s="131" t="s">
        <v>10</v>
      </c>
      <c r="C38" s="488"/>
      <c r="E38" s="488"/>
      <c r="F38" s="283" t="s">
        <v>2894</v>
      </c>
      <c r="G38" s="284"/>
      <c r="H38" s="285"/>
    </row>
    <row r="39" spans="1:8" s="131" customFormat="1">
      <c r="C39" s="488"/>
      <c r="E39" s="488"/>
      <c r="F39" s="291"/>
      <c r="G39" s="291"/>
      <c r="H39" s="291"/>
    </row>
    <row r="40" spans="1:8" s="131" customFormat="1">
      <c r="C40" s="488"/>
      <c r="E40" s="488"/>
      <c r="F40" s="286"/>
      <c r="G40" s="287"/>
      <c r="H40" s="287"/>
    </row>
    <row r="41" spans="1:8" s="131" customFormat="1">
      <c r="C41" s="488"/>
      <c r="E41" s="488"/>
    </row>
    <row r="42" spans="1:8" s="131" customFormat="1">
      <c r="A42" s="142"/>
      <c r="B42" s="142"/>
      <c r="C42" s="445"/>
      <c r="E42" s="488"/>
    </row>
    <row r="43" spans="1:8" s="131" customFormat="1">
      <c r="C43" s="488"/>
      <c r="E43" s="488"/>
    </row>
    <row r="44" spans="1:8" s="131" customFormat="1">
      <c r="A44" s="143" t="s">
        <v>8</v>
      </c>
      <c r="C44" s="488"/>
      <c r="D44" s="493" t="s">
        <v>8</v>
      </c>
      <c r="E44" s="488"/>
      <c r="F44" s="143" t="s">
        <v>7</v>
      </c>
      <c r="H44" s="144"/>
    </row>
    <row r="45" spans="1:8" s="131" customFormat="1">
      <c r="C45" s="488"/>
      <c r="D45" s="488"/>
      <c r="E45" s="488"/>
    </row>
    <row r="46" spans="1:8" s="131" customFormat="1">
      <c r="C46" s="488"/>
      <c r="D46" s="488"/>
      <c r="E46" s="488"/>
    </row>
    <row r="47" spans="1:8" s="131" customFormat="1">
      <c r="C47" s="488"/>
      <c r="D47" s="488"/>
      <c r="E47" s="488"/>
    </row>
    <row r="48" spans="1:8" s="131" customFormat="1">
      <c r="A48" s="142"/>
      <c r="B48" s="142"/>
      <c r="C48" s="445"/>
      <c r="D48" s="142"/>
      <c r="E48" s="488"/>
      <c r="F48" s="142"/>
      <c r="G48" s="142"/>
      <c r="H48" s="142"/>
    </row>
    <row r="49" spans="1:6" s="147" customFormat="1" ht="17.100000000000001" customHeight="1">
      <c r="A49" s="145" t="s">
        <v>2948</v>
      </c>
      <c r="B49" s="146"/>
      <c r="C49" s="146"/>
      <c r="D49" s="494" t="s">
        <v>103</v>
      </c>
      <c r="E49" s="490"/>
      <c r="F49" s="147" t="s">
        <v>3</v>
      </c>
    </row>
    <row r="50" spans="1:6" s="131" customFormat="1">
      <c r="C50" s="488"/>
      <c r="E50" s="488"/>
      <c r="F50" s="131" t="s">
        <v>2</v>
      </c>
    </row>
    <row r="51" spans="1:6" s="131" customFormat="1">
      <c r="C51" s="488"/>
      <c r="E51" s="488"/>
    </row>
    <row r="52" spans="1:6" s="131" customFormat="1">
      <c r="C52" s="488"/>
      <c r="E52" s="488"/>
      <c r="F52" s="110" t="s">
        <v>1</v>
      </c>
    </row>
    <row r="53" spans="1:6" s="131" customFormat="1">
      <c r="C53" s="488"/>
      <c r="E53" s="488"/>
      <c r="F53" s="110" t="s">
        <v>0</v>
      </c>
    </row>
    <row r="54" spans="1:6" s="131" customFormat="1">
      <c r="C54" s="488"/>
      <c r="E54" s="488"/>
    </row>
    <row r="55" spans="1:6" s="131" customFormat="1">
      <c r="C55" s="488"/>
      <c r="E55" s="488"/>
    </row>
    <row r="56" spans="1:6" s="131" customFormat="1">
      <c r="C56" s="488"/>
      <c r="E56" s="488"/>
    </row>
    <row r="57" spans="1:6" s="131" customFormat="1">
      <c r="C57" s="488"/>
      <c r="E57" s="488"/>
    </row>
    <row r="58" spans="1:6" s="131" customFormat="1">
      <c r="C58" s="488"/>
      <c r="E58" s="488"/>
    </row>
    <row r="59" spans="1:6" s="131" customFormat="1">
      <c r="C59" s="488"/>
      <c r="E59" s="488"/>
    </row>
    <row r="60" spans="1:6" s="131" customFormat="1">
      <c r="C60" s="488"/>
      <c r="E60" s="488"/>
    </row>
    <row r="61" spans="1:6" s="131" customFormat="1">
      <c r="C61" s="488"/>
      <c r="E61" s="488"/>
    </row>
    <row r="62" spans="1:6" s="131" customFormat="1">
      <c r="C62" s="488"/>
      <c r="E62" s="488"/>
    </row>
    <row r="63" spans="1:6" s="131" customFormat="1">
      <c r="C63" s="488"/>
      <c r="E63" s="488"/>
    </row>
    <row r="64" spans="1:6" s="131" customFormat="1">
      <c r="C64" s="488"/>
      <c r="E64" s="488"/>
    </row>
    <row r="65" spans="3:5" s="131" customFormat="1">
      <c r="C65" s="488"/>
      <c r="E65" s="488"/>
    </row>
    <row r="66" spans="3:5" s="131" customFormat="1">
      <c r="C66" s="488"/>
      <c r="E66" s="488"/>
    </row>
    <row r="67" spans="3:5" s="131" customFormat="1">
      <c r="C67" s="488"/>
      <c r="E67" s="488"/>
    </row>
    <row r="68" spans="3:5" s="131" customFormat="1">
      <c r="C68" s="488"/>
      <c r="E68" s="488"/>
    </row>
    <row r="69" spans="3:5" s="131" customFormat="1">
      <c r="C69" s="488"/>
      <c r="E69" s="488"/>
    </row>
    <row r="70" spans="3:5" s="131" customFormat="1">
      <c r="C70" s="488"/>
      <c r="E70" s="488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322">
    <pageSetUpPr fitToPage="1"/>
  </sheetPr>
  <dimension ref="A1:F56"/>
  <sheetViews>
    <sheetView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26" t="s">
        <v>3822</v>
      </c>
      <c r="F9" s="111"/>
    </row>
    <row r="10" spans="1:6">
      <c r="A10" s="111" t="s">
        <v>3263</v>
      </c>
      <c r="B10" s="111"/>
      <c r="C10" s="111"/>
      <c r="D10" s="112" t="s">
        <v>1162</v>
      </c>
      <c r="E10" s="160" t="s">
        <v>3816</v>
      </c>
      <c r="F10" s="111"/>
    </row>
    <row r="11" spans="1:6">
      <c r="A11" s="111" t="s">
        <v>3264</v>
      </c>
      <c r="B11" s="111"/>
      <c r="C11" s="111"/>
      <c r="D11" s="112" t="s">
        <v>1163</v>
      </c>
      <c r="E11" s="160" t="s">
        <v>1094</v>
      </c>
      <c r="F11" s="111"/>
    </row>
    <row r="12" spans="1:6">
      <c r="A12" s="111" t="s">
        <v>3265</v>
      </c>
      <c r="B12" s="111"/>
      <c r="C12" s="111"/>
      <c r="D12" s="112" t="s">
        <v>1096</v>
      </c>
      <c r="E12" s="160" t="s">
        <v>3823</v>
      </c>
      <c r="F12" s="111"/>
    </row>
    <row r="13" spans="1:6">
      <c r="A13" s="111" t="s">
        <v>3266</v>
      </c>
      <c r="B13" s="111"/>
      <c r="C13" s="111"/>
      <c r="D13" s="111"/>
      <c r="E13" s="111"/>
      <c r="F13" s="111"/>
    </row>
    <row r="14" spans="1:6">
      <c r="A14" s="111" t="s">
        <v>3267</v>
      </c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C18" s="2" t="s">
        <v>3268</v>
      </c>
    </row>
    <row r="20" spans="1:6">
      <c r="A20" s="116" t="s">
        <v>2834</v>
      </c>
      <c r="B20" s="121"/>
      <c r="C20" s="131" t="s">
        <v>3422</v>
      </c>
      <c r="D20" s="111"/>
      <c r="E20" s="111"/>
      <c r="F20" s="111">
        <v>1000</v>
      </c>
    </row>
    <row r="21" spans="1:6">
      <c r="A21" s="111"/>
      <c r="B21" s="111"/>
      <c r="C21" s="131" t="s">
        <v>3824</v>
      </c>
      <c r="D21" s="111"/>
      <c r="E21" s="111"/>
      <c r="F21" s="111"/>
    </row>
    <row r="22" spans="1:6">
      <c r="A22" s="111"/>
      <c r="B22" s="111"/>
      <c r="C22" s="131"/>
      <c r="D22" s="111"/>
      <c r="E22" s="111"/>
      <c r="F22" s="111"/>
    </row>
    <row r="23" spans="1:6">
      <c r="A23" s="116"/>
      <c r="B23" s="121"/>
      <c r="C23" s="111"/>
      <c r="D23" s="111"/>
      <c r="E23" s="111"/>
      <c r="F23" s="111"/>
    </row>
    <row r="24" spans="1:6">
      <c r="A24" s="111"/>
      <c r="B24" s="111"/>
      <c r="C24" s="111"/>
      <c r="D24" s="111"/>
      <c r="E24" s="111"/>
      <c r="F24" s="111"/>
    </row>
    <row r="25" spans="1:6">
      <c r="A25" s="116"/>
      <c r="B25" s="116"/>
      <c r="C25" s="111"/>
      <c r="D25" s="111"/>
      <c r="E25" s="111"/>
      <c r="F25" s="111"/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  <c r="F32" s="111"/>
    </row>
    <row r="33" spans="1:6">
      <c r="A33" s="111"/>
      <c r="B33" s="111"/>
      <c r="C33" s="111"/>
      <c r="D33" s="111"/>
      <c r="E33" s="111"/>
      <c r="F33" s="111"/>
    </row>
    <row r="34" spans="1:6">
      <c r="A34" s="111"/>
      <c r="B34" s="111"/>
      <c r="C34" s="111"/>
      <c r="D34" s="111"/>
      <c r="E34" s="111"/>
    </row>
    <row r="35" spans="1:6" ht="13.5" thickBot="1">
      <c r="A35" s="111"/>
      <c r="B35" s="111"/>
      <c r="C35" s="111"/>
      <c r="D35" s="111"/>
      <c r="E35" s="111"/>
      <c r="F35" s="117">
        <f>SUM(F20:F34)</f>
        <v>1000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and NO/100 -----------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A44" s="111"/>
      <c r="B44" s="111"/>
      <c r="C44" s="111"/>
      <c r="D44" s="111"/>
      <c r="E44" s="111"/>
      <c r="F44" s="111"/>
    </row>
    <row r="45" spans="1:6">
      <c r="A45" s="123" t="s">
        <v>8</v>
      </c>
      <c r="B45" s="111"/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323"/>
  <dimension ref="A1:P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.140625" style="1" customWidth="1"/>
    <col min="2" max="2" width="15.5703125" style="1" customWidth="1"/>
    <col min="3" max="3" width="1.42578125" style="1" customWidth="1"/>
    <col min="4" max="4" width="23" style="1" customWidth="1"/>
    <col min="5" max="5" width="1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16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6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6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6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6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6">
      <c r="A9" s="111"/>
      <c r="B9" s="111"/>
      <c r="C9" s="111"/>
      <c r="D9" s="111"/>
      <c r="E9" s="111"/>
      <c r="F9" s="112" t="s">
        <v>1127</v>
      </c>
      <c r="G9" s="131" t="s">
        <v>6050</v>
      </c>
      <c r="H9" s="111"/>
    </row>
    <row r="10" spans="1:16">
      <c r="A10" s="111" t="s">
        <v>3165</v>
      </c>
      <c r="B10" s="111"/>
      <c r="C10" s="111"/>
      <c r="D10" s="111"/>
      <c r="E10" s="111"/>
      <c r="F10" s="112" t="s">
        <v>1162</v>
      </c>
      <c r="G10" s="132" t="s">
        <v>6047</v>
      </c>
      <c r="H10" s="111"/>
      <c r="J10" s="1" t="s">
        <v>6050</v>
      </c>
      <c r="K10" s="1">
        <v>43745</v>
      </c>
      <c r="M10" s="1" t="s">
        <v>6051</v>
      </c>
    </row>
    <row r="11" spans="1:16">
      <c r="A11" s="111" t="s">
        <v>3166</v>
      </c>
      <c r="B11" s="111"/>
      <c r="C11" s="111"/>
      <c r="D11" s="111"/>
      <c r="E11" s="111"/>
      <c r="F11" s="112" t="s">
        <v>1163</v>
      </c>
      <c r="G11" s="132" t="s">
        <v>1094</v>
      </c>
      <c r="H11" s="111"/>
    </row>
    <row r="12" spans="1:16">
      <c r="A12" s="111" t="s">
        <v>3167</v>
      </c>
      <c r="B12" s="111"/>
      <c r="C12" s="111"/>
      <c r="D12" s="111"/>
      <c r="E12" s="111"/>
      <c r="F12" s="112" t="s">
        <v>1135</v>
      </c>
      <c r="G12" s="132" t="s">
        <v>6051</v>
      </c>
      <c r="H12" s="111"/>
    </row>
    <row r="13" spans="1:16">
      <c r="A13" s="111" t="s">
        <v>3168</v>
      </c>
      <c r="B13" s="111"/>
      <c r="C13" s="111"/>
      <c r="D13" s="111"/>
      <c r="E13" s="111"/>
      <c r="F13" s="111"/>
      <c r="G13" s="111"/>
      <c r="H13" s="111"/>
    </row>
    <row r="14" spans="1:16">
      <c r="A14" s="111" t="s">
        <v>3169</v>
      </c>
      <c r="B14" s="111"/>
      <c r="C14" s="111"/>
      <c r="D14" s="111"/>
      <c r="E14" s="111"/>
      <c r="F14" s="111"/>
      <c r="G14" s="111"/>
      <c r="H14" s="111"/>
    </row>
    <row r="15" spans="1:16">
      <c r="A15" s="111"/>
      <c r="B15" s="111"/>
      <c r="C15" s="111"/>
      <c r="D15" s="111"/>
      <c r="E15" s="111"/>
      <c r="F15" s="111"/>
      <c r="G15" s="111"/>
      <c r="H15" s="111"/>
    </row>
    <row r="16" spans="1:16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  <c r="J16" s="120" t="s">
        <v>4977</v>
      </c>
      <c r="K16" s="167"/>
      <c r="L16" s="253"/>
      <c r="M16" s="253"/>
      <c r="N16" s="149">
        <v>137500</v>
      </c>
      <c r="O16" s="1"/>
      <c r="P16" s="1"/>
    </row>
    <row r="17" spans="1:14">
      <c r="A17" s="111"/>
      <c r="B17" s="111"/>
      <c r="C17" s="111"/>
      <c r="D17" s="111"/>
      <c r="E17" s="111"/>
      <c r="F17" s="111"/>
      <c r="G17" s="111"/>
      <c r="H17" s="111"/>
      <c r="J17" s="167" t="s">
        <v>4607</v>
      </c>
      <c r="K17" s="167"/>
      <c r="L17" s="167"/>
      <c r="M17" s="167"/>
      <c r="N17" s="167">
        <v>-20625</v>
      </c>
    </row>
    <row r="18" spans="1:14">
      <c r="A18" s="148"/>
      <c r="B18" s="111"/>
      <c r="C18" s="111"/>
      <c r="D18" s="2" t="s">
        <v>5847</v>
      </c>
      <c r="E18" s="2"/>
      <c r="F18" s="111"/>
      <c r="G18" s="111"/>
      <c r="H18" s="111"/>
      <c r="J18" s="120"/>
      <c r="N18" s="111"/>
    </row>
    <row r="19" spans="1:14">
      <c r="A19" s="111"/>
      <c r="B19" s="111"/>
      <c r="C19" s="111"/>
      <c r="D19" s="2"/>
      <c r="E19" s="2"/>
      <c r="F19" s="111"/>
      <c r="G19" s="111"/>
      <c r="H19" s="111"/>
      <c r="J19" s="167"/>
      <c r="K19" s="167"/>
      <c r="L19" s="167"/>
      <c r="M19" s="167"/>
      <c r="N19" s="167"/>
    </row>
    <row r="20" spans="1:14">
      <c r="A20" s="161" t="s">
        <v>6052</v>
      </c>
      <c r="B20" s="415" t="s">
        <v>6053</v>
      </c>
      <c r="C20" s="111"/>
      <c r="D20" s="120" t="s">
        <v>6054</v>
      </c>
      <c r="H20" s="111">
        <v>175000</v>
      </c>
    </row>
    <row r="21" spans="1:14">
      <c r="A21" s="252"/>
      <c r="B21" s="111"/>
      <c r="C21" s="111"/>
      <c r="D21" s="120"/>
      <c r="E21" s="120"/>
      <c r="F21" s="111"/>
      <c r="G21" s="111"/>
      <c r="H21" s="111"/>
    </row>
    <row r="22" spans="1:14">
      <c r="A22" s="148"/>
      <c r="B22" s="157"/>
      <c r="C22" s="157"/>
      <c r="D22" s="167" t="s">
        <v>4607</v>
      </c>
      <c r="H22" s="167">
        <v>-7182.3330000000096</v>
      </c>
    </row>
    <row r="23" spans="1:14">
      <c r="A23" s="161"/>
      <c r="B23" s="111"/>
    </row>
    <row r="24" spans="1:14">
      <c r="A24" s="159"/>
      <c r="B24" s="111"/>
      <c r="C24" s="111"/>
      <c r="D24" s="120"/>
      <c r="H24" s="111"/>
    </row>
    <row r="25" spans="1:14">
      <c r="A25" s="252"/>
      <c r="B25" s="111"/>
      <c r="C25" s="111"/>
    </row>
    <row r="26" spans="1:14">
      <c r="A26" s="148"/>
    </row>
    <row r="27" spans="1:14">
      <c r="B27" s="111"/>
      <c r="C27" s="111"/>
      <c r="D27" s="111"/>
      <c r="E27" s="111"/>
      <c r="H27" s="111"/>
    </row>
    <row r="28" spans="1:14">
      <c r="A28" s="159"/>
      <c r="B28" s="111"/>
      <c r="C28" s="111"/>
      <c r="D28" s="2"/>
      <c r="E28" s="2"/>
      <c r="H28" s="111"/>
    </row>
    <row r="29" spans="1:14">
      <c r="A29" s="252"/>
      <c r="B29" s="111"/>
      <c r="C29" s="111"/>
      <c r="D29" s="111"/>
      <c r="E29" s="111"/>
      <c r="H29" s="111"/>
    </row>
    <row r="30" spans="1:14">
      <c r="A30" s="159"/>
      <c r="B30" s="111"/>
      <c r="C30" s="111"/>
      <c r="D30" s="111"/>
      <c r="E30" s="111"/>
      <c r="H30" s="111"/>
    </row>
    <row r="31" spans="1:14">
      <c r="A31" s="252"/>
      <c r="B31" s="111"/>
      <c r="C31" s="111"/>
      <c r="D31" s="2"/>
      <c r="E31" s="2"/>
      <c r="H31" s="111"/>
    </row>
    <row r="32" spans="1:14">
      <c r="A32" s="252"/>
      <c r="B32" s="111"/>
      <c r="C32" s="111"/>
      <c r="D32" s="111"/>
      <c r="E32" s="111"/>
      <c r="H32" s="111"/>
    </row>
    <row r="33" spans="1:8">
      <c r="A33" s="148"/>
      <c r="B33" s="111"/>
      <c r="C33" s="111"/>
      <c r="D33" s="111"/>
      <c r="E33" s="111"/>
      <c r="H33" s="111"/>
    </row>
    <row r="34" spans="1:8" ht="13.5" thickBot="1">
      <c r="A34" s="111"/>
      <c r="B34" s="111"/>
      <c r="C34" s="111"/>
      <c r="D34" s="111"/>
      <c r="E34" s="111"/>
      <c r="F34" s="111"/>
      <c r="G34" s="111"/>
      <c r="H34" s="127">
        <f>SUM(H19:H33)</f>
        <v>167817.66699999999</v>
      </c>
    </row>
    <row r="35" spans="1:8" ht="13.5" thickTop="1">
      <c r="A35" s="126"/>
      <c r="B35" s="111"/>
      <c r="C35" s="111"/>
      <c r="D35" s="111"/>
      <c r="E35" s="111"/>
    </row>
    <row r="36" spans="1:8" ht="20.100000000000001" customHeight="1">
      <c r="A36" s="118" t="s">
        <v>1133</v>
      </c>
      <c r="B36" s="202" t="str">
        <f>IF(OR(H34&gt;1000000,H34&lt;=0),"",IF(H34&lt;1000,"",IF(MOD(H34,1000000)&gt;=100000,INDEX(numbers,TRUNC(MOD(H34,1000000)/100000,0)+1)&amp;" Hundred","")&amp;IF(MOD(H34,100000)&gt;=20000," "&amp;INDEX(tens,TRUNC(MOD(H34,100000)/10000,0)+1)&amp;IF(MOD(MOD(H34,100000),10000)&gt;=1000,"-"&amp;INDEX(numbers,TRUNC(MOD(MOD(H34,100000),10000)/1000,0)+1),""),IF(MOD(H34,100000)&gt;=1000," "&amp;INDEX(numbers,TRUNC(MOD(H34,100000)/1000,0)+1),""))&amp;" Thousand") &amp; IF(H34&lt;1,"Zero Dollars",IF(MOD(H34,1000)&gt;=100," "&amp;INDEX(numbers,TRUNC(MOD(H34,1000)/100,0)+1)&amp;" Hundred","")&amp;IF(MOD(H34,100)&gt;=20," "&amp;INDEX(tens,TRUNC(MOD(H34,100)/10,0)+1)&amp;IF(MOD(MOD(H34,100),10)&gt;=1,"-"&amp;INDEX(numbers,TRUNC(MOD(MOD(H34,100),10),0)+1),""),IF(MOD(H34,100)&gt;=1," "&amp;INDEX(numbers,TRUNC(MOD(H34,100),0)+1),""))&amp;"") &amp; " and " &amp; IF(MOD(H34,1)&lt;0.005,"NO",ROUND(MOD(H34,1)*100,0)) &amp; "/100 -----------")</f>
        <v>One Hundred Sixty-Seven Thousand Eight Hundred Seventeen and 67/100 -----------</v>
      </c>
      <c r="C36" s="202"/>
      <c r="D36" s="119"/>
      <c r="E36" s="119"/>
      <c r="F36" s="119"/>
      <c r="G36" s="119"/>
      <c r="H36" s="119"/>
    </row>
    <row r="37" spans="1:8">
      <c r="A37" s="120" t="s">
        <v>11</v>
      </c>
      <c r="B37" s="111"/>
      <c r="C37" s="111"/>
      <c r="D37" s="111"/>
      <c r="E37" s="111"/>
      <c r="F37" s="111"/>
      <c r="G37" s="111"/>
      <c r="H37" s="111"/>
    </row>
    <row r="38" spans="1:8" ht="25.5">
      <c r="A38" s="126" t="s">
        <v>10</v>
      </c>
      <c r="B38" s="111"/>
      <c r="C38" s="111"/>
      <c r="D38" s="123" t="s">
        <v>8</v>
      </c>
      <c r="E38" s="111"/>
      <c r="F38" s="265" t="s">
        <v>2894</v>
      </c>
      <c r="G38" s="266"/>
      <c r="H38" s="267"/>
    </row>
    <row r="39" spans="1:8">
      <c r="A39" s="111"/>
      <c r="B39" s="111"/>
      <c r="C39" s="111"/>
      <c r="D39" s="111"/>
      <c r="E39" s="111"/>
      <c r="F39" s="111"/>
      <c r="G39" s="111"/>
      <c r="H39" s="111"/>
    </row>
    <row r="40" spans="1:8">
      <c r="A40" s="15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21"/>
      <c r="F41" s="111"/>
      <c r="G41" s="111"/>
      <c r="H41" s="111"/>
    </row>
    <row r="42" spans="1:8">
      <c r="A42" s="122"/>
      <c r="B42" s="122"/>
      <c r="C42" s="111"/>
      <c r="D42" s="122"/>
      <c r="E42" s="111"/>
      <c r="F42" s="111"/>
      <c r="G42" s="111"/>
      <c r="H42" s="111"/>
    </row>
    <row r="43" spans="1:8">
      <c r="B43" s="111"/>
      <c r="C43" s="111"/>
      <c r="D43" s="151" t="s">
        <v>103</v>
      </c>
      <c r="E43" s="111"/>
      <c r="F43" s="111"/>
      <c r="G43" s="111"/>
      <c r="H43" s="111"/>
    </row>
    <row r="44" spans="1:8">
      <c r="B44" s="111"/>
      <c r="C44" s="111"/>
      <c r="D44" s="151"/>
      <c r="E44" s="111"/>
      <c r="F44" s="111"/>
      <c r="G44" s="111"/>
      <c r="H44" s="111"/>
    </row>
    <row r="45" spans="1:8">
      <c r="A45" s="123" t="s">
        <v>8</v>
      </c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4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324">
    <pageSetUpPr fitToPage="1"/>
  </sheetPr>
  <dimension ref="A1:G52"/>
  <sheetViews>
    <sheetView workbookViewId="0">
      <selection activeCell="G9" sqref="G9:G13"/>
    </sheetView>
  </sheetViews>
  <sheetFormatPr defaultRowHeight="12.75"/>
  <cols>
    <col min="1" max="1" width="15.85546875" style="131" customWidth="1"/>
    <col min="2" max="2" width="11.85546875" style="131" customWidth="1"/>
    <col min="3" max="3" width="21" style="131" customWidth="1"/>
    <col min="4" max="4" width="12.85546875" style="131" customWidth="1"/>
    <col min="5" max="5" width="8.28515625" style="131" customWidth="1"/>
    <col min="6" max="6" width="13.28515625" style="131" customWidth="1"/>
    <col min="7" max="16384" width="9.140625" style="131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1123</v>
      </c>
      <c r="E9" s="111" t="s">
        <v>3637</v>
      </c>
    </row>
    <row r="10" spans="1:6">
      <c r="A10" s="131" t="s">
        <v>2994</v>
      </c>
      <c r="D10" s="132" t="s">
        <v>1124</v>
      </c>
      <c r="E10" s="123" t="s">
        <v>3636</v>
      </c>
    </row>
    <row r="11" spans="1:6">
      <c r="A11" s="140" t="s">
        <v>2995</v>
      </c>
      <c r="D11" s="132" t="s">
        <v>1125</v>
      </c>
      <c r="E11" s="112" t="s">
        <v>1094</v>
      </c>
    </row>
    <row r="12" spans="1:6">
      <c r="D12" s="132" t="s">
        <v>1096</v>
      </c>
      <c r="E12" s="112" t="s">
        <v>3638</v>
      </c>
    </row>
    <row r="13" spans="1:6">
      <c r="E13" s="111"/>
    </row>
    <row r="16" spans="1:6" s="95" customFormat="1" ht="20.100000000000001" customHeight="1">
      <c r="A16" s="90" t="s">
        <v>1140</v>
      </c>
      <c r="B16" s="91" t="s">
        <v>1098</v>
      </c>
      <c r="C16" s="92" t="s">
        <v>14</v>
      </c>
      <c r="D16" s="90"/>
      <c r="E16" s="93"/>
      <c r="F16" s="94" t="s">
        <v>13</v>
      </c>
    </row>
    <row r="18" spans="1:7">
      <c r="A18" s="158" t="s">
        <v>3640</v>
      </c>
      <c r="B18" s="158" t="s">
        <v>3641</v>
      </c>
      <c r="C18" s="131" t="s">
        <v>3639</v>
      </c>
      <c r="F18" s="131">
        <v>5000</v>
      </c>
      <c r="G18" s="250"/>
    </row>
    <row r="20" spans="1:7">
      <c r="B20" s="158"/>
      <c r="C20" s="243"/>
    </row>
    <row r="22" spans="1:7">
      <c r="A22" s="132"/>
      <c r="B22" s="158"/>
    </row>
    <row r="23" spans="1:7">
      <c r="A23" s="132"/>
      <c r="C23" s="140"/>
    </row>
    <row r="24" spans="1:7">
      <c r="A24" s="158"/>
      <c r="B24" s="158"/>
    </row>
    <row r="25" spans="1:7">
      <c r="C25" s="110"/>
    </row>
    <row r="26" spans="1:7">
      <c r="B26" s="140"/>
    </row>
    <row r="27" spans="1:7">
      <c r="A27" s="132"/>
    </row>
    <row r="28" spans="1:7">
      <c r="A28" s="132"/>
      <c r="B28" s="158"/>
      <c r="C28" s="140"/>
    </row>
    <row r="33" spans="1:6" ht="13.5" thickBot="1">
      <c r="F33" s="137">
        <f>SUM(F18:F32)</f>
        <v>5000</v>
      </c>
    </row>
    <row r="34" spans="1:6" ht="13.5" thickTop="1"/>
    <row r="35" spans="1:6" ht="20.100000000000001" customHeight="1">
      <c r="A35" s="13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Five Thousand and NO/100 -----------</v>
      </c>
      <c r="C35" s="139"/>
      <c r="D35" s="139"/>
      <c r="E35" s="139"/>
      <c r="F35" s="139"/>
    </row>
    <row r="36" spans="1:6">
      <c r="A36" s="140" t="s">
        <v>11</v>
      </c>
    </row>
    <row r="37" spans="1:6" ht="25.5">
      <c r="A37" s="131" t="s">
        <v>10</v>
      </c>
      <c r="D37" s="265" t="s">
        <v>2894</v>
      </c>
      <c r="E37" s="266"/>
      <c r="F37" s="267"/>
    </row>
    <row r="39" spans="1:6">
      <c r="A39" s="147"/>
    </row>
    <row r="40" spans="1:6">
      <c r="C40" s="141"/>
    </row>
    <row r="41" spans="1:6">
      <c r="A41" s="142"/>
      <c r="B41" s="142"/>
    </row>
    <row r="43" spans="1:6">
      <c r="A43" s="143" t="s">
        <v>8</v>
      </c>
      <c r="D43" s="143" t="s">
        <v>7</v>
      </c>
      <c r="F43" s="144"/>
    </row>
    <row r="47" spans="1:6">
      <c r="A47" s="142"/>
      <c r="B47" s="142"/>
      <c r="D47" s="142"/>
      <c r="E47" s="142"/>
      <c r="F47" s="142"/>
    </row>
    <row r="48" spans="1:6" s="147" customFormat="1" ht="17.100000000000001" customHeight="1">
      <c r="A48" s="145" t="s">
        <v>2948</v>
      </c>
      <c r="B48" s="146"/>
      <c r="D48" s="147" t="s">
        <v>3</v>
      </c>
    </row>
    <row r="49" spans="1:4">
      <c r="D49" s="131" t="s">
        <v>2</v>
      </c>
    </row>
    <row r="50" spans="1:4">
      <c r="A50" s="145"/>
    </row>
    <row r="51" spans="1:4">
      <c r="D51" s="110" t="s">
        <v>1</v>
      </c>
    </row>
    <row r="52" spans="1:4">
      <c r="D52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325">
    <pageSetUpPr fitToPage="1"/>
  </sheetPr>
  <dimension ref="A1:I52"/>
  <sheetViews>
    <sheetView workbookViewId="0">
      <selection activeCell="G9" sqref="G9:G13"/>
    </sheetView>
  </sheetViews>
  <sheetFormatPr defaultRowHeight="12.75"/>
  <cols>
    <col min="1" max="1" width="15.85546875" style="131" customWidth="1"/>
    <col min="2" max="2" width="11.85546875" style="131" customWidth="1"/>
    <col min="3" max="3" width="0.7109375" style="131" customWidth="1"/>
    <col min="4" max="4" width="21" style="131" customWidth="1"/>
    <col min="5" max="5" width="1.28515625" style="131" customWidth="1"/>
    <col min="6" max="6" width="16.42578125" style="131" customWidth="1"/>
    <col min="7" max="7" width="8.28515625" style="131" customWidth="1"/>
    <col min="8" max="8" width="13.28515625" style="131" customWidth="1"/>
    <col min="9" max="16384" width="9.140625" style="131"/>
  </cols>
  <sheetData>
    <row r="1" spans="1:8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8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8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8">
      <c r="A4" s="532" t="s">
        <v>1684</v>
      </c>
      <c r="B4" s="532"/>
      <c r="C4" s="532"/>
      <c r="D4" s="532"/>
      <c r="E4" s="532"/>
      <c r="F4" s="532"/>
      <c r="G4" s="532"/>
      <c r="H4" s="532"/>
    </row>
    <row r="8" spans="1:8">
      <c r="A8" s="131" t="s">
        <v>24</v>
      </c>
      <c r="F8" s="87" t="s">
        <v>23</v>
      </c>
    </row>
    <row r="9" spans="1:8">
      <c r="F9" s="132" t="s">
        <v>1123</v>
      </c>
      <c r="G9" s="212" t="s">
        <v>4934</v>
      </c>
    </row>
    <row r="10" spans="1:8">
      <c r="A10" s="131" t="s">
        <v>3903</v>
      </c>
      <c r="F10" s="132" t="s">
        <v>1124</v>
      </c>
      <c r="G10" s="212" t="s">
        <v>4935</v>
      </c>
    </row>
    <row r="11" spans="1:8">
      <c r="A11" s="131" t="s">
        <v>3904</v>
      </c>
      <c r="F11" s="132" t="s">
        <v>1125</v>
      </c>
      <c r="G11" s="212" t="s">
        <v>2023</v>
      </c>
    </row>
    <row r="12" spans="1:8">
      <c r="A12" s="131" t="s">
        <v>3905</v>
      </c>
      <c r="F12" s="132" t="s">
        <v>1096</v>
      </c>
      <c r="G12" s="212" t="s">
        <v>1270</v>
      </c>
    </row>
    <row r="13" spans="1:8">
      <c r="A13" s="131" t="s">
        <v>3906</v>
      </c>
    </row>
    <row r="16" spans="1:8" s="95" customFormat="1" ht="20.100000000000001" customHeight="1">
      <c r="A16" s="90" t="s">
        <v>1140</v>
      </c>
      <c r="B16" s="91" t="s">
        <v>1098</v>
      </c>
      <c r="C16" s="91"/>
      <c r="D16" s="92" t="s">
        <v>14</v>
      </c>
      <c r="E16" s="92"/>
      <c r="F16" s="90"/>
      <c r="G16" s="93"/>
      <c r="H16" s="94" t="s">
        <v>13</v>
      </c>
    </row>
    <row r="18" spans="1:9">
      <c r="A18" s="158"/>
      <c r="B18" s="158"/>
      <c r="C18" s="158"/>
      <c r="D18" s="110" t="s">
        <v>3125</v>
      </c>
      <c r="E18" s="110"/>
      <c r="I18" s="250"/>
    </row>
    <row r="20" spans="1:9">
      <c r="A20" s="158" t="s">
        <v>4925</v>
      </c>
      <c r="B20" s="158" t="s">
        <v>4936</v>
      </c>
      <c r="C20" s="158"/>
      <c r="D20" s="131" t="s">
        <v>4937</v>
      </c>
      <c r="H20" s="131">
        <f>1500*4.8595</f>
        <v>7289.25</v>
      </c>
    </row>
    <row r="21" spans="1:9">
      <c r="A21" s="158"/>
      <c r="B21" s="158"/>
      <c r="C21" s="158"/>
    </row>
    <row r="22" spans="1:9">
      <c r="A22" s="158"/>
      <c r="B22" s="158"/>
      <c r="C22" s="158"/>
      <c r="D22" s="200" t="s">
        <v>4938</v>
      </c>
      <c r="E22" s="200"/>
    </row>
    <row r="23" spans="1:9">
      <c r="A23" s="158"/>
      <c r="B23" s="158"/>
      <c r="C23" s="158"/>
    </row>
    <row r="24" spans="1:9">
      <c r="D24" s="131" t="s">
        <v>2831</v>
      </c>
      <c r="H24" s="131">
        <v>30</v>
      </c>
    </row>
    <row r="25" spans="1:9">
      <c r="A25" s="158"/>
      <c r="B25" s="158"/>
      <c r="C25" s="158"/>
      <c r="D25" s="200"/>
      <c r="E25" s="200"/>
    </row>
    <row r="26" spans="1:9">
      <c r="D26" s="131" t="s">
        <v>1814</v>
      </c>
      <c r="H26" s="131">
        <v>1.8</v>
      </c>
    </row>
    <row r="27" spans="1:9">
      <c r="A27" s="158"/>
      <c r="B27" s="158"/>
      <c r="C27" s="158"/>
    </row>
    <row r="29" spans="1:9">
      <c r="A29" s="158"/>
      <c r="B29" s="158"/>
      <c r="C29" s="158"/>
      <c r="D29" s="110"/>
      <c r="E29" s="110"/>
    </row>
    <row r="30" spans="1:9">
      <c r="D30" s="110"/>
      <c r="E30" s="110"/>
    </row>
    <row r="31" spans="1:9">
      <c r="A31" s="281"/>
      <c r="B31" s="281"/>
      <c r="C31" s="281"/>
    </row>
    <row r="33" spans="1:8" ht="13.5" thickBot="1">
      <c r="H33" s="137">
        <f>SUM(H18:H31)</f>
        <v>7321.05</v>
      </c>
    </row>
    <row r="34" spans="1:8" ht="13.5" thickTop="1"/>
    <row r="35" spans="1:8" ht="20.100000000000001" customHeight="1">
      <c r="A35" s="138" t="s">
        <v>1133</v>
      </c>
      <c r="B35" s="204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Seven Thousand Three Hundred Twenty-One and 5/100 -----------</v>
      </c>
      <c r="C35" s="204"/>
      <c r="D35" s="139"/>
      <c r="E35" s="282"/>
      <c r="F35" s="282"/>
      <c r="G35" s="282"/>
      <c r="H35" s="282"/>
    </row>
    <row r="36" spans="1:8" ht="20.100000000000001" customHeight="1">
      <c r="A36" s="212"/>
      <c r="B36" s="145"/>
      <c r="C36" s="145"/>
      <c r="D36" s="147"/>
      <c r="E36" s="147"/>
      <c r="F36" s="282"/>
      <c r="G36" s="282"/>
      <c r="H36" s="282"/>
    </row>
    <row r="37" spans="1:8" ht="25.5">
      <c r="A37" s="212" t="s">
        <v>3060</v>
      </c>
      <c r="F37" s="283" t="s">
        <v>2894</v>
      </c>
      <c r="G37" s="284"/>
      <c r="H37" s="285"/>
    </row>
    <row r="38" spans="1:8">
      <c r="F38" s="286"/>
      <c r="G38" s="287"/>
      <c r="H38" s="287"/>
    </row>
    <row r="39" spans="1:8">
      <c r="D39" s="141"/>
      <c r="E39" s="141"/>
    </row>
    <row r="40" spans="1:8">
      <c r="D40" s="141"/>
      <c r="E40" s="141"/>
    </row>
    <row r="41" spans="1:8">
      <c r="A41" s="142"/>
      <c r="B41" s="142"/>
    </row>
    <row r="43" spans="1:8">
      <c r="A43" s="143" t="s">
        <v>8</v>
      </c>
      <c r="D43" s="143" t="s">
        <v>8</v>
      </c>
      <c r="F43" s="143" t="s">
        <v>7</v>
      </c>
      <c r="H43" s="144"/>
    </row>
    <row r="47" spans="1:8">
      <c r="A47" s="142"/>
      <c r="B47" s="142"/>
      <c r="D47" s="142"/>
      <c r="F47" s="142"/>
      <c r="G47" s="142"/>
      <c r="H47" s="142"/>
    </row>
    <row r="48" spans="1:8" s="147" customFormat="1" ht="17.100000000000001" customHeight="1">
      <c r="A48" s="131" t="s">
        <v>2948</v>
      </c>
      <c r="B48" s="146"/>
      <c r="C48" s="146"/>
      <c r="D48" s="131" t="s">
        <v>103</v>
      </c>
      <c r="F48" s="147" t="s">
        <v>3</v>
      </c>
    </row>
    <row r="49" spans="6:6">
      <c r="F49" s="131" t="s">
        <v>2</v>
      </c>
    </row>
    <row r="51" spans="6:6">
      <c r="F51" s="110" t="s">
        <v>1</v>
      </c>
    </row>
    <row r="52" spans="6:6">
      <c r="F52" s="110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326">
    <pageSetUpPr fitToPage="1"/>
  </sheetPr>
  <dimension ref="A1:N55"/>
  <sheetViews>
    <sheetView workbookViewId="0">
      <selection activeCell="G9" sqref="G9:G13"/>
    </sheetView>
  </sheetViews>
  <sheetFormatPr defaultRowHeight="12.75"/>
  <cols>
    <col min="1" max="1" width="16" style="131" customWidth="1"/>
    <col min="2" max="2" width="13.7109375" style="131" customWidth="1"/>
    <col min="3" max="3" width="21" style="131" customWidth="1"/>
    <col min="4" max="4" width="16.42578125" style="131" customWidth="1"/>
    <col min="5" max="5" width="9" style="131" customWidth="1"/>
    <col min="6" max="6" width="13.28515625" style="131" customWidth="1"/>
    <col min="7" max="16384" width="9.140625" style="86"/>
  </cols>
  <sheetData>
    <row r="1" spans="1:6" ht="15">
      <c r="A1" s="531" t="s">
        <v>26</v>
      </c>
      <c r="B1" s="531"/>
      <c r="C1" s="531"/>
      <c r="D1" s="531"/>
      <c r="E1" s="531"/>
      <c r="F1" s="531"/>
    </row>
    <row r="2" spans="1:6">
      <c r="A2" s="532" t="s">
        <v>25</v>
      </c>
      <c r="B2" s="532"/>
      <c r="C2" s="532"/>
      <c r="D2" s="532"/>
      <c r="E2" s="532"/>
      <c r="F2" s="532"/>
    </row>
    <row r="3" spans="1:6">
      <c r="A3" s="532" t="s">
        <v>1480</v>
      </c>
      <c r="B3" s="532"/>
      <c r="C3" s="532"/>
      <c r="D3" s="532"/>
      <c r="E3" s="532"/>
      <c r="F3" s="532"/>
    </row>
    <row r="4" spans="1:6">
      <c r="A4" s="532" t="s">
        <v>1684</v>
      </c>
      <c r="B4" s="532"/>
      <c r="C4" s="532"/>
      <c r="D4" s="532"/>
      <c r="E4" s="532"/>
      <c r="F4" s="532"/>
    </row>
    <row r="8" spans="1:6">
      <c r="A8" s="131" t="s">
        <v>24</v>
      </c>
      <c r="D8" s="87" t="s">
        <v>23</v>
      </c>
    </row>
    <row r="9" spans="1:6">
      <c r="D9" s="132" t="s">
        <v>1110</v>
      </c>
      <c r="E9" s="131" t="s">
        <v>3495</v>
      </c>
    </row>
    <row r="10" spans="1:6">
      <c r="A10" s="131" t="s">
        <v>3241</v>
      </c>
      <c r="D10" s="132" t="s">
        <v>1685</v>
      </c>
      <c r="E10" s="132" t="s">
        <v>3494</v>
      </c>
    </row>
    <row r="11" spans="1:6">
      <c r="A11" s="131" t="s">
        <v>3239</v>
      </c>
      <c r="D11" s="132" t="s">
        <v>1163</v>
      </c>
      <c r="E11" s="132" t="s">
        <v>1094</v>
      </c>
    </row>
    <row r="12" spans="1:6">
      <c r="A12" s="131" t="s">
        <v>3238</v>
      </c>
      <c r="D12" s="132" t="s">
        <v>1188</v>
      </c>
      <c r="E12" s="140" t="s">
        <v>3496</v>
      </c>
    </row>
    <row r="13" spans="1:6">
      <c r="A13" s="131" t="s">
        <v>3193</v>
      </c>
    </row>
    <row r="14" spans="1:6">
      <c r="A14" s="131" t="s">
        <v>2758</v>
      </c>
    </row>
    <row r="15" spans="1:6">
      <c r="A15" s="131" t="s">
        <v>1588</v>
      </c>
    </row>
    <row r="16" spans="1:6" s="95" customFormat="1" ht="20.100000000000001" customHeight="1">
      <c r="A16" s="91" t="s">
        <v>1097</v>
      </c>
      <c r="B16" s="91" t="s">
        <v>1098</v>
      </c>
      <c r="C16" s="92" t="s">
        <v>14</v>
      </c>
      <c r="D16" s="90"/>
      <c r="E16" s="93"/>
      <c r="F16" s="94" t="s">
        <v>13</v>
      </c>
    </row>
    <row r="17" spans="1:14">
      <c r="A17" s="177"/>
    </row>
    <row r="18" spans="1:14">
      <c r="C18" s="110" t="s">
        <v>3437</v>
      </c>
      <c r="K18" s="111" t="s">
        <v>3492</v>
      </c>
      <c r="L18" s="111"/>
      <c r="M18" s="111"/>
      <c r="N18" s="111">
        <v>17399.86</v>
      </c>
    </row>
    <row r="19" spans="1:14">
      <c r="A19" s="177"/>
      <c r="C19" s="110"/>
      <c r="K19" s="111" t="s">
        <v>3493</v>
      </c>
      <c r="L19" s="111"/>
      <c r="M19" s="111"/>
      <c r="N19" s="111"/>
    </row>
    <row r="20" spans="1:14">
      <c r="A20" s="174" t="s">
        <v>3480</v>
      </c>
      <c r="B20" s="116" t="s">
        <v>3497</v>
      </c>
      <c r="C20" s="111" t="s">
        <v>3498</v>
      </c>
      <c r="D20" s="111"/>
      <c r="E20" s="111"/>
      <c r="F20" s="111">
        <v>450</v>
      </c>
      <c r="K20" s="111" t="s">
        <v>1814</v>
      </c>
      <c r="L20" s="111"/>
      <c r="M20" s="111"/>
      <c r="N20" s="111">
        <f>N18*6%</f>
        <v>1043.9916000000001</v>
      </c>
    </row>
    <row r="21" spans="1:14">
      <c r="A21" s="173"/>
      <c r="B21" s="111"/>
      <c r="C21" s="111" t="s">
        <v>1814</v>
      </c>
      <c r="D21" s="111"/>
      <c r="E21" s="111"/>
      <c r="F21" s="111">
        <f>F20*6%</f>
        <v>27</v>
      </c>
    </row>
    <row r="22" spans="1:14">
      <c r="A22" s="173"/>
      <c r="B22" s="111"/>
      <c r="C22" s="111"/>
      <c r="D22" s="111"/>
      <c r="E22" s="111"/>
      <c r="F22" s="111"/>
    </row>
    <row r="23" spans="1:14">
      <c r="A23" s="116"/>
      <c r="B23" s="121"/>
      <c r="C23" s="111"/>
      <c r="D23" s="111"/>
      <c r="E23" s="111"/>
      <c r="F23" s="111"/>
    </row>
    <row r="24" spans="1:14">
      <c r="A24" s="177"/>
    </row>
    <row r="25" spans="1:14">
      <c r="A25" s="177"/>
      <c r="C25" s="110"/>
    </row>
    <row r="26" spans="1:14">
      <c r="A26" s="254"/>
      <c r="B26" s="158"/>
    </row>
    <row r="27" spans="1:14">
      <c r="A27" s="177"/>
    </row>
    <row r="29" spans="1:14">
      <c r="A29" s="132"/>
      <c r="B29" s="158"/>
      <c r="C29" s="140"/>
    </row>
    <row r="30" spans="1:14">
      <c r="A30" s="158"/>
      <c r="C30" s="110"/>
    </row>
    <row r="32" spans="1:14">
      <c r="A32" s="158"/>
    </row>
    <row r="33" spans="1:6">
      <c r="A33" s="158"/>
      <c r="B33" s="86"/>
    </row>
    <row r="34" spans="1:6">
      <c r="A34" s="86"/>
      <c r="B34" s="86"/>
      <c r="C34" s="86"/>
      <c r="D34" s="86"/>
      <c r="E34" s="86"/>
      <c r="F34" s="86"/>
    </row>
    <row r="35" spans="1:6">
      <c r="A35" s="177"/>
      <c r="F35" s="86"/>
    </row>
    <row r="36" spans="1:6" ht="13.5" thickBot="1">
      <c r="A36" s="177"/>
      <c r="F36" s="137">
        <f>SUM(F19:F34)</f>
        <v>477</v>
      </c>
    </row>
    <row r="37" spans="1:6" ht="13.5" thickTop="1">
      <c r="A37" s="177"/>
    </row>
    <row r="38" spans="1:6" ht="20.100000000000001" customHeight="1">
      <c r="A38" s="138" t="s">
        <v>1686</v>
      </c>
      <c r="B38" s="204" t="str">
        <f>IF(OR(F36&gt;1000000,F36&lt;=0),"",IF(F36&lt;1000,"",IF(MOD(F36,1000000)&gt;=100000,INDEX(numbers,TRUNC(MOD(F36,1000000)/100000,0)+1)&amp;" Hundred","")&amp;IF(MOD(F36,100000)&gt;=20000," "&amp;INDEX(tens,TRUNC(MOD(F36,100000)/10000,0)+1)&amp;IF(MOD(MOD(F36,100000),10000)&gt;=1000,"-"&amp;INDEX(numbers,TRUNC(MOD(MOD(F36,100000),10000)/1000,0)+1),""),IF(MOD(F36,100000)&gt;=1000," "&amp;INDEX(numbers,TRUNC(MOD(F36,100000)/1000,0)+1),""))&amp;" Thousand") &amp; IF(F36&lt;1,"Zero Dollars",IF(MOD(F36,1000)&gt;=100," "&amp;INDEX(numbers,TRUNC(MOD(F36,1000)/100,0)+1)&amp;" Hundred","")&amp;IF(MOD(F36,100)&gt;=20," "&amp;INDEX(tens,TRUNC(MOD(F36,100)/10,0)+1)&amp;IF(MOD(MOD(F36,100),10)&gt;=1,"-"&amp;INDEX(numbers,TRUNC(MOD(MOD(F36,100),10),0)+1),""),IF(MOD(F36,100)&gt;=1," "&amp;INDEX(numbers,TRUNC(MOD(F36,100),0)+1),""))&amp;"") &amp; " and " &amp; IF(MOD(F36,1)&lt;0.005,"NO",ROUND(MOD(F36,1)*100,0)) &amp; "/100 -----------")</f>
        <v xml:space="preserve"> Four Hundred Seventy-Seven and NO/100 -----------</v>
      </c>
      <c r="C38" s="139"/>
      <c r="D38" s="139"/>
      <c r="E38" s="139"/>
      <c r="F38" s="139"/>
    </row>
    <row r="39" spans="1:6">
      <c r="A39" s="140"/>
    </row>
    <row r="40" spans="1:6" ht="25.5">
      <c r="A40" s="131" t="s">
        <v>10</v>
      </c>
      <c r="D40" s="283" t="s">
        <v>2894</v>
      </c>
      <c r="E40" s="284"/>
      <c r="F40" s="285"/>
    </row>
    <row r="42" spans="1:6">
      <c r="D42" s="291"/>
      <c r="E42" s="291"/>
      <c r="F42" s="291"/>
    </row>
    <row r="43" spans="1:6">
      <c r="A43" s="131" t="s">
        <v>51</v>
      </c>
      <c r="C43" s="141"/>
      <c r="D43" s="286"/>
      <c r="E43" s="287"/>
      <c r="F43" s="287"/>
    </row>
    <row r="44" spans="1:6">
      <c r="A44" s="104"/>
      <c r="B44" s="142"/>
    </row>
    <row r="46" spans="1:6">
      <c r="A46" s="131" t="s">
        <v>8</v>
      </c>
      <c r="D46" s="143" t="s">
        <v>7</v>
      </c>
      <c r="F46" s="144"/>
    </row>
    <row r="50" spans="1:6">
      <c r="A50" s="142"/>
      <c r="B50" s="142"/>
      <c r="D50" s="142"/>
      <c r="E50" s="142"/>
      <c r="F50" s="142"/>
    </row>
    <row r="51" spans="1:6" s="109" customFormat="1" ht="17.100000000000001" customHeight="1">
      <c r="A51" s="131" t="s">
        <v>2948</v>
      </c>
      <c r="B51" s="146"/>
      <c r="C51" s="147"/>
      <c r="D51" s="147" t="s">
        <v>3</v>
      </c>
      <c r="E51" s="147"/>
      <c r="F51" s="147"/>
    </row>
    <row r="52" spans="1:6">
      <c r="D52" s="131" t="s">
        <v>2</v>
      </c>
    </row>
    <row r="54" spans="1:6">
      <c r="D54" s="110" t="s">
        <v>1</v>
      </c>
    </row>
    <row r="55" spans="1:6">
      <c r="D55" s="110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98A0-0323-41B0-8011-5C863C86B552}">
  <dimension ref="A1:H52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6" style="483" customWidth="1"/>
    <col min="2" max="2" width="13.7109375" style="483" customWidth="1"/>
    <col min="3" max="3" width="1.28515625" style="483" customWidth="1"/>
    <col min="4" max="4" width="19.85546875" style="483" customWidth="1"/>
    <col min="5" max="5" width="1.5703125" style="483" customWidth="1"/>
    <col min="6" max="6" width="13.28515625" style="483" customWidth="1"/>
    <col min="7" max="7" width="10.140625" style="483" customWidth="1"/>
    <col min="8" max="8" width="13.28515625" style="483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483" t="s">
        <v>24</v>
      </c>
      <c r="F8" s="22" t="s">
        <v>23</v>
      </c>
    </row>
    <row r="9" spans="1:8">
      <c r="A9" s="483" t="s">
        <v>7007</v>
      </c>
      <c r="F9" s="484" t="s">
        <v>1110</v>
      </c>
      <c r="G9" s="489" t="s">
        <v>7005</v>
      </c>
    </row>
    <row r="10" spans="1:8">
      <c r="A10" s="483" t="s">
        <v>7008</v>
      </c>
      <c r="F10" s="484" t="s">
        <v>1685</v>
      </c>
      <c r="G10" s="489" t="s">
        <v>7004</v>
      </c>
    </row>
    <row r="11" spans="1:8">
      <c r="A11" s="483" t="s">
        <v>7009</v>
      </c>
      <c r="F11" s="484" t="s">
        <v>1163</v>
      </c>
      <c r="G11" s="489" t="s">
        <v>1094</v>
      </c>
    </row>
    <row r="12" spans="1:8">
      <c r="A12" s="483" t="s">
        <v>5460</v>
      </c>
      <c r="F12" s="484" t="s">
        <v>1188</v>
      </c>
      <c r="G12" s="483" t="s">
        <v>7006</v>
      </c>
    </row>
    <row r="13" spans="1:8">
      <c r="G13" s="483" t="s">
        <v>6182</v>
      </c>
    </row>
    <row r="16" spans="1:8" s="15" customFormat="1" ht="20.100000000000001" customHeight="1">
      <c r="A16" s="523" t="s">
        <v>1097</v>
      </c>
      <c r="B16" s="523" t="s">
        <v>1098</v>
      </c>
      <c r="C16" s="523"/>
      <c r="D16" s="19" t="s">
        <v>14</v>
      </c>
      <c r="E16" s="19"/>
      <c r="F16" s="18"/>
      <c r="G16" s="17"/>
      <c r="H16" s="16" t="s">
        <v>13</v>
      </c>
    </row>
    <row r="17" spans="1:8">
      <c r="A17" s="173"/>
    </row>
    <row r="18" spans="1:8">
      <c r="D18" s="482" t="s">
        <v>3572</v>
      </c>
      <c r="E18" s="482"/>
    </row>
    <row r="19" spans="1:8">
      <c r="A19" s="173"/>
      <c r="D19" s="482"/>
      <c r="E19" s="482"/>
    </row>
    <row r="20" spans="1:8">
      <c r="A20" s="485" t="s">
        <v>7010</v>
      </c>
      <c r="B20" s="485" t="s">
        <v>7011</v>
      </c>
      <c r="C20" s="485"/>
      <c r="D20" s="483" t="s">
        <v>7012</v>
      </c>
      <c r="H20" s="483">
        <v>300</v>
      </c>
    </row>
    <row r="21" spans="1:8">
      <c r="A21" s="484"/>
      <c r="D21" s="483" t="s">
        <v>7013</v>
      </c>
    </row>
    <row r="23" spans="1:8">
      <c r="A23" s="485"/>
      <c r="B23" s="485"/>
      <c r="C23" s="485"/>
    </row>
    <row r="24" spans="1:8">
      <c r="A24" s="484"/>
    </row>
    <row r="25" spans="1:8">
      <c r="A25" s="484"/>
    </row>
    <row r="26" spans="1:8">
      <c r="A26" s="485"/>
      <c r="B26" s="485"/>
      <c r="C26" s="485"/>
    </row>
    <row r="27" spans="1:8">
      <c r="A27" s="484"/>
    </row>
    <row r="29" spans="1:8">
      <c r="A29" s="485"/>
    </row>
    <row r="30" spans="1:8">
      <c r="A30" s="485"/>
      <c r="B30" s="1"/>
      <c r="C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73"/>
      <c r="H32" s="1"/>
    </row>
    <row r="33" spans="1:8" ht="13.5" thickBot="1">
      <c r="A33" s="173"/>
      <c r="H33" s="117">
        <f>SUM(H19:H31)</f>
        <v>300</v>
      </c>
    </row>
    <row r="34" spans="1:8" ht="13.5" thickTop="1">
      <c r="A34" s="173"/>
    </row>
    <row r="35" spans="1:8" ht="20.100000000000001" customHeight="1">
      <c r="A35" s="118" t="s">
        <v>1686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Three Hundred and NO/100 -----------</v>
      </c>
      <c r="C35" s="202"/>
      <c r="D35" s="119"/>
      <c r="E35" s="119"/>
      <c r="F35" s="119"/>
      <c r="G35" s="119"/>
      <c r="H35" s="119"/>
    </row>
    <row r="36" spans="1:8">
      <c r="A36" s="486"/>
    </row>
    <row r="37" spans="1:8">
      <c r="A37" s="483" t="s">
        <v>10</v>
      </c>
    </row>
    <row r="38" spans="1:8" ht="25.5">
      <c r="F38" s="265" t="s">
        <v>2894</v>
      </c>
      <c r="G38" s="266"/>
      <c r="H38" s="267"/>
    </row>
    <row r="39" spans="1:8">
      <c r="F39" s="309"/>
      <c r="G39" s="309"/>
      <c r="H39" s="309"/>
    </row>
    <row r="40" spans="1:8">
      <c r="A40" s="483" t="s">
        <v>51</v>
      </c>
      <c r="D40" s="121"/>
      <c r="E40" s="121"/>
      <c r="F40" s="310"/>
      <c r="G40" s="311"/>
      <c r="H40" s="311"/>
    </row>
    <row r="41" spans="1:8">
      <c r="A41" s="35"/>
      <c r="B41" s="122"/>
    </row>
    <row r="43" spans="1:8">
      <c r="A43" s="483" t="s">
        <v>8</v>
      </c>
      <c r="D43" s="483" t="s">
        <v>8</v>
      </c>
      <c r="F43" s="487" t="s">
        <v>7</v>
      </c>
      <c r="H43" s="124"/>
    </row>
    <row r="47" spans="1:8">
      <c r="A47" s="122"/>
      <c r="B47" s="122"/>
      <c r="D47" s="122"/>
      <c r="F47" s="122"/>
      <c r="G47" s="122"/>
      <c r="H47" s="122"/>
    </row>
    <row r="48" spans="1:8" s="3" customFormat="1" ht="17.100000000000001" customHeight="1">
      <c r="A48" s="483" t="s">
        <v>2948</v>
      </c>
      <c r="B48" s="125"/>
      <c r="C48" s="125"/>
      <c r="D48" s="483" t="s">
        <v>103</v>
      </c>
      <c r="E48" s="126"/>
      <c r="F48" s="126" t="s">
        <v>3</v>
      </c>
      <c r="G48" s="126"/>
      <c r="H48" s="126"/>
    </row>
    <row r="49" spans="6:6">
      <c r="F49" s="483" t="s">
        <v>2</v>
      </c>
    </row>
    <row r="51" spans="6:6">
      <c r="F51" s="482" t="s">
        <v>1</v>
      </c>
    </row>
    <row r="52" spans="6:6">
      <c r="F52" s="48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327">
    <pageSetUpPr fitToPage="1"/>
  </sheetPr>
  <dimension ref="A1:F52"/>
  <sheetViews>
    <sheetView workbookViewId="0">
      <selection activeCell="G9" sqref="G9:G13"/>
    </sheetView>
  </sheetViews>
  <sheetFormatPr defaultRowHeight="12.75"/>
  <cols>
    <col min="1" max="1" width="15.85546875" style="111" customWidth="1"/>
    <col min="2" max="2" width="12.140625" style="111" customWidth="1"/>
    <col min="3" max="3" width="23" style="111" customWidth="1"/>
    <col min="4" max="4" width="13.5703125" style="111" customWidth="1"/>
    <col min="5" max="5" width="9.5703125" style="111" customWidth="1"/>
    <col min="6" max="6" width="13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1090</v>
      </c>
      <c r="E9" s="111" t="s">
        <v>3612</v>
      </c>
      <c r="F9" s="131"/>
    </row>
    <row r="10" spans="1:6">
      <c r="A10" s="111" t="s">
        <v>3122</v>
      </c>
      <c r="D10" s="112" t="s">
        <v>1340</v>
      </c>
      <c r="E10" s="123" t="s">
        <v>3611</v>
      </c>
      <c r="F10" s="131"/>
    </row>
    <row r="11" spans="1:6">
      <c r="D11" s="112" t="s">
        <v>1341</v>
      </c>
      <c r="E11" s="112" t="s">
        <v>1094</v>
      </c>
      <c r="F11" s="131"/>
    </row>
    <row r="12" spans="1:6">
      <c r="D12" s="112" t="s">
        <v>1135</v>
      </c>
      <c r="E12" s="112" t="s">
        <v>3613</v>
      </c>
      <c r="F12" s="131"/>
    </row>
    <row r="16" spans="1:6" s="15" customFormat="1" ht="20.100000000000001" customHeight="1">
      <c r="A16" s="18" t="s">
        <v>1113</v>
      </c>
      <c r="B16" s="129" t="s">
        <v>1114</v>
      </c>
      <c r="C16" s="533" t="s">
        <v>14</v>
      </c>
      <c r="D16" s="533"/>
      <c r="E16" s="17"/>
      <c r="F16" s="16" t="s">
        <v>13</v>
      </c>
    </row>
    <row r="18" spans="1:6">
      <c r="A18" s="116"/>
      <c r="B18" s="116"/>
      <c r="C18" s="2" t="s">
        <v>3123</v>
      </c>
    </row>
    <row r="20" spans="1:6">
      <c r="A20" s="116" t="s">
        <v>3614</v>
      </c>
      <c r="B20" s="121" t="s">
        <v>3615</v>
      </c>
      <c r="C20" s="111" t="s">
        <v>3616</v>
      </c>
    </row>
    <row r="21" spans="1:6">
      <c r="A21" s="116"/>
      <c r="B21" s="116"/>
      <c r="C21" s="111" t="s">
        <v>3617</v>
      </c>
    </row>
    <row r="22" spans="1:6">
      <c r="C22" s="111" t="s">
        <v>3618</v>
      </c>
      <c r="F22" s="111">
        <v>80</v>
      </c>
    </row>
    <row r="23" spans="1:6">
      <c r="C23" s="111" t="s">
        <v>3619</v>
      </c>
      <c r="F23" s="111">
        <v>80</v>
      </c>
    </row>
    <row r="33" spans="1:6" ht="13.5" thickBot="1">
      <c r="F33" s="117">
        <f>SUM(F18:F32)</f>
        <v>160</v>
      </c>
    </row>
    <row r="34" spans="1:6" ht="13.5" thickTop="1"/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One Hundred Sixty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 ht="25.5">
      <c r="A37" s="111" t="s">
        <v>10</v>
      </c>
      <c r="D37" s="265" t="s">
        <v>2894</v>
      </c>
      <c r="E37" s="266"/>
      <c r="F37" s="267"/>
    </row>
    <row r="39" spans="1:6">
      <c r="A39" s="126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11" t="s">
        <v>2948</v>
      </c>
      <c r="B48" s="125"/>
      <c r="D48" s="126" t="s">
        <v>3</v>
      </c>
    </row>
    <row r="49" spans="1:4">
      <c r="D49" s="111" t="s">
        <v>2</v>
      </c>
    </row>
    <row r="50" spans="1:4">
      <c r="A50" s="151"/>
    </row>
    <row r="51" spans="1:4">
      <c r="D51" s="2" t="s">
        <v>1</v>
      </c>
    </row>
    <row r="52" spans="1:4">
      <c r="D52" s="2" t="s">
        <v>0</v>
      </c>
    </row>
  </sheetData>
  <mergeCells count="5">
    <mergeCell ref="A1:F1"/>
    <mergeCell ref="A2:F2"/>
    <mergeCell ref="A3:F3"/>
    <mergeCell ref="A4:F4"/>
    <mergeCell ref="C16:D16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328">
    <pageSetUpPr fitToPage="1"/>
  </sheetPr>
  <dimension ref="A1:F56"/>
  <sheetViews>
    <sheetView topLeftCell="A4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26" t="s">
        <v>2960</v>
      </c>
      <c r="F9" s="111"/>
    </row>
    <row r="10" spans="1:6">
      <c r="A10" s="111" t="s">
        <v>2962</v>
      </c>
      <c r="B10" s="111"/>
      <c r="C10" s="111"/>
      <c r="D10" s="112" t="s">
        <v>1162</v>
      </c>
      <c r="E10" s="160" t="s">
        <v>2949</v>
      </c>
      <c r="F10" s="111"/>
    </row>
    <row r="11" spans="1:6">
      <c r="A11" s="111" t="s">
        <v>2963</v>
      </c>
      <c r="B11" s="111"/>
      <c r="C11" s="111"/>
      <c r="D11" s="112" t="s">
        <v>1163</v>
      </c>
      <c r="E11" s="160" t="s">
        <v>1094</v>
      </c>
      <c r="F11" s="111"/>
    </row>
    <row r="12" spans="1:6">
      <c r="A12" s="111" t="s">
        <v>2964</v>
      </c>
      <c r="B12" s="111"/>
      <c r="C12" s="111"/>
      <c r="D12" s="112" t="s">
        <v>1096</v>
      </c>
      <c r="E12" s="160" t="s">
        <v>2961</v>
      </c>
      <c r="F12" s="111"/>
    </row>
    <row r="13" spans="1:6">
      <c r="A13" s="111" t="s">
        <v>1413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C18" s="2" t="s">
        <v>2965</v>
      </c>
    </row>
    <row r="19" spans="1:6">
      <c r="C19" s="2" t="s">
        <v>2966</v>
      </c>
    </row>
    <row r="20" spans="1:6">
      <c r="A20" s="116"/>
      <c r="B20" s="121"/>
      <c r="C20" s="111"/>
      <c r="D20" s="111"/>
      <c r="E20" s="111"/>
      <c r="F20" s="111"/>
    </row>
    <row r="21" spans="1:6">
      <c r="A21" s="116" t="s">
        <v>2967</v>
      </c>
      <c r="B21" s="121" t="s">
        <v>2968</v>
      </c>
      <c r="C21" s="111" t="s">
        <v>2969</v>
      </c>
      <c r="D21" s="111"/>
      <c r="E21" s="111"/>
      <c r="F21" s="111">
        <v>990</v>
      </c>
    </row>
    <row r="22" spans="1:6">
      <c r="A22" s="111"/>
      <c r="B22" s="111"/>
      <c r="C22" s="111" t="s">
        <v>2970</v>
      </c>
      <c r="D22" s="111"/>
      <c r="E22" s="111"/>
      <c r="F22" s="111"/>
    </row>
    <row r="23" spans="1:6">
      <c r="A23" s="116"/>
      <c r="B23" s="121"/>
      <c r="C23" s="111"/>
      <c r="D23" s="111"/>
      <c r="E23" s="111"/>
      <c r="F23" s="111"/>
    </row>
    <row r="24" spans="1:6">
      <c r="A24" s="111"/>
      <c r="B24" s="111"/>
      <c r="C24" s="111" t="s">
        <v>2971</v>
      </c>
      <c r="D24" s="111"/>
      <c r="E24" s="111"/>
      <c r="F24" s="111">
        <f>260*2</f>
        <v>520</v>
      </c>
    </row>
    <row r="25" spans="1:6">
      <c r="A25" s="116"/>
      <c r="B25" s="116"/>
      <c r="C25" s="111"/>
      <c r="D25" s="111"/>
      <c r="E25" s="111"/>
      <c r="F25" s="111"/>
    </row>
    <row r="26" spans="1:6">
      <c r="A26" s="111"/>
      <c r="B26" s="111"/>
      <c r="C26" s="111"/>
      <c r="D26" s="111"/>
      <c r="E26" s="111"/>
      <c r="F26" s="111"/>
    </row>
    <row r="27" spans="1:6">
      <c r="A27" s="111"/>
      <c r="B27" s="111"/>
      <c r="C27" s="111"/>
      <c r="D27" s="111"/>
      <c r="E27" s="111"/>
      <c r="F27" s="111"/>
    </row>
    <row r="28" spans="1:6">
      <c r="A28" s="111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  <c r="F32" s="111"/>
    </row>
    <row r="33" spans="1:6">
      <c r="A33" s="111"/>
      <c r="B33" s="111"/>
      <c r="C33" s="111"/>
      <c r="D33" s="111"/>
      <c r="E33" s="111"/>
      <c r="F33" s="111"/>
    </row>
    <row r="34" spans="1:6">
      <c r="A34" s="111"/>
      <c r="B34" s="111"/>
      <c r="C34" s="111"/>
      <c r="D34" s="111"/>
      <c r="E34" s="111"/>
    </row>
    <row r="35" spans="1:6" ht="13.5" thickBot="1">
      <c r="A35" s="111"/>
      <c r="B35" s="111"/>
      <c r="C35" s="111"/>
      <c r="D35" s="111"/>
      <c r="E35" s="111"/>
      <c r="F35" s="117">
        <f>SUM(F20:F34)</f>
        <v>1510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One Thousand Five Hundred Ten and NO/100 -----------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A44" s="111"/>
      <c r="B44" s="111"/>
      <c r="C44" s="111"/>
      <c r="D44" s="111"/>
      <c r="E44" s="111"/>
      <c r="F44" s="111"/>
    </row>
    <row r="45" spans="1:6">
      <c r="A45" s="123" t="s">
        <v>8</v>
      </c>
      <c r="B45" s="111"/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29">
    <pageSetUpPr fitToPage="1"/>
  </sheetPr>
  <dimension ref="A1:F52"/>
  <sheetViews>
    <sheetView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23" style="111" customWidth="1"/>
    <col min="4" max="4" width="13.42578125" style="111" customWidth="1"/>
    <col min="5" max="5" width="9.5703125" style="111" customWidth="1"/>
    <col min="6" max="6" width="15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1134</v>
      </c>
      <c r="E9" s="111" t="s">
        <v>3488</v>
      </c>
    </row>
    <row r="10" spans="1:6">
      <c r="A10" s="111" t="s">
        <v>2883</v>
      </c>
      <c r="D10" s="112" t="s">
        <v>1162</v>
      </c>
      <c r="E10" s="112" t="s">
        <v>3489</v>
      </c>
    </row>
    <row r="11" spans="1:6">
      <c r="A11" s="111" t="s">
        <v>2884</v>
      </c>
      <c r="D11" s="112" t="s">
        <v>1163</v>
      </c>
      <c r="E11" s="112" t="s">
        <v>1094</v>
      </c>
    </row>
    <row r="12" spans="1:6">
      <c r="A12" s="111" t="s">
        <v>2221</v>
      </c>
      <c r="D12" s="112" t="s">
        <v>1135</v>
      </c>
      <c r="E12" s="112" t="s">
        <v>3491</v>
      </c>
    </row>
    <row r="13" spans="1:6">
      <c r="A13" s="111" t="s">
        <v>1588</v>
      </c>
    </row>
    <row r="16" spans="1:6" s="15" customFormat="1" ht="20.100000000000001" customHeight="1">
      <c r="A16" s="18" t="s">
        <v>1140</v>
      </c>
      <c r="B16" s="129" t="s">
        <v>1098</v>
      </c>
      <c r="C16" s="19" t="s">
        <v>14</v>
      </c>
      <c r="D16" s="18"/>
      <c r="E16" s="17"/>
      <c r="F16" s="16" t="s">
        <v>13</v>
      </c>
    </row>
    <row r="18" spans="1:6">
      <c r="C18" s="2" t="s">
        <v>3490</v>
      </c>
    </row>
    <row r="19" spans="1:6">
      <c r="A19" s="161"/>
      <c r="B19" s="116"/>
    </row>
    <row r="20" spans="1:6">
      <c r="C20" s="111" t="s">
        <v>2885</v>
      </c>
      <c r="F20" s="111">
        <v>30000</v>
      </c>
    </row>
    <row r="27" spans="1:6">
      <c r="F27" s="2"/>
    </row>
    <row r="28" spans="1:6">
      <c r="B28" s="120"/>
    </row>
    <row r="29" spans="1:6">
      <c r="B29" s="120"/>
    </row>
    <row r="30" spans="1:6">
      <c r="B30" s="120"/>
    </row>
    <row r="31" spans="1:6">
      <c r="B31" s="120"/>
    </row>
    <row r="33" spans="1:6" ht="13.5" thickBot="1">
      <c r="F33" s="127">
        <f>SUM(F19:F32)</f>
        <v>30000</v>
      </c>
    </row>
    <row r="34" spans="1:6" ht="13.5" thickTop="1"/>
    <row r="35" spans="1:6" ht="20.100000000000001" customHeight="1">
      <c r="A35" s="118" t="s">
        <v>1133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Thirty Thousand and NO/100 -----------</v>
      </c>
      <c r="C35" s="119"/>
      <c r="D35" s="119"/>
      <c r="E35" s="119"/>
      <c r="F35" s="261"/>
    </row>
    <row r="36" spans="1:6">
      <c r="A36" s="120"/>
    </row>
    <row r="37" spans="1:6">
      <c r="A37" s="123" t="s">
        <v>10</v>
      </c>
    </row>
    <row r="38" spans="1:6">
      <c r="A38" s="123"/>
    </row>
    <row r="39" spans="1:6" ht="25.5">
      <c r="A39" s="126"/>
      <c r="D39" s="265" t="s">
        <v>2894</v>
      </c>
      <c r="E39" s="266"/>
      <c r="F39" s="267"/>
    </row>
    <row r="40" spans="1:6">
      <c r="A40" s="123"/>
      <c r="C40" s="121"/>
    </row>
    <row r="41" spans="1:6">
      <c r="A41" s="150"/>
      <c r="B41" s="122"/>
    </row>
    <row r="43" spans="1:6">
      <c r="A43" s="123" t="s">
        <v>8</v>
      </c>
      <c r="D43" s="123" t="s">
        <v>7</v>
      </c>
      <c r="F43" s="124"/>
    </row>
    <row r="44" spans="1:6">
      <c r="A44" s="123"/>
    </row>
    <row r="45" spans="1:6">
      <c r="A45" s="123"/>
    </row>
    <row r="46" spans="1:6">
      <c r="A46" s="123"/>
    </row>
    <row r="47" spans="1:6">
      <c r="A47" s="150"/>
      <c r="B47" s="122"/>
      <c r="D47" s="122"/>
      <c r="E47" s="122"/>
      <c r="F47" s="122"/>
    </row>
    <row r="48" spans="1:6" s="126" customFormat="1" ht="17.100000000000001" customHeight="1">
      <c r="A48" s="151" t="s">
        <v>4</v>
      </c>
      <c r="B48" s="125"/>
      <c r="D48" s="126" t="s">
        <v>3</v>
      </c>
    </row>
    <row r="49" spans="1:4">
      <c r="A49" s="123"/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330">
    <pageSetUpPr fitToPage="1"/>
  </sheetPr>
  <dimension ref="A1:F56"/>
  <sheetViews>
    <sheetView topLeftCell="A4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23" style="1" customWidth="1"/>
    <col min="4" max="4" width="15.42578125" style="1" customWidth="1"/>
    <col min="5" max="5" width="9" style="1" customWidth="1"/>
    <col min="6" max="6" width="12.85546875" style="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B8" s="111"/>
      <c r="C8" s="111"/>
      <c r="D8" s="22" t="s">
        <v>23</v>
      </c>
      <c r="E8" s="111"/>
      <c r="F8" s="111"/>
    </row>
    <row r="9" spans="1:6">
      <c r="A9" s="111"/>
      <c r="B9" s="111"/>
      <c r="C9" s="111"/>
      <c r="D9" s="112" t="s">
        <v>1127</v>
      </c>
      <c r="E9" s="111" t="s">
        <v>2932</v>
      </c>
      <c r="F9" s="111"/>
    </row>
    <row r="10" spans="1:6">
      <c r="A10" s="111" t="s">
        <v>2842</v>
      </c>
      <c r="B10" s="111"/>
      <c r="C10" s="111"/>
      <c r="D10" s="112" t="s">
        <v>1162</v>
      </c>
      <c r="E10" s="112" t="s">
        <v>2917</v>
      </c>
      <c r="F10" s="111"/>
    </row>
    <row r="11" spans="1:6">
      <c r="A11" s="111" t="s">
        <v>2846</v>
      </c>
      <c r="B11" s="111"/>
      <c r="C11" s="111"/>
      <c r="D11" s="112" t="s">
        <v>1163</v>
      </c>
      <c r="E11" s="112" t="s">
        <v>1094</v>
      </c>
      <c r="F11" s="111"/>
    </row>
    <row r="12" spans="1:6">
      <c r="A12" s="111" t="s">
        <v>1092</v>
      </c>
      <c r="B12" s="111"/>
      <c r="C12" s="111"/>
      <c r="D12" s="112" t="s">
        <v>1096</v>
      </c>
      <c r="E12" s="112" t="s">
        <v>2943</v>
      </c>
      <c r="F12" s="111"/>
    </row>
    <row r="13" spans="1:6">
      <c r="A13" s="111" t="s">
        <v>2843</v>
      </c>
      <c r="B13" s="111"/>
      <c r="C13" s="111"/>
      <c r="D13" s="111"/>
      <c r="E13" s="111"/>
      <c r="F13" s="111"/>
    </row>
    <row r="14" spans="1:6">
      <c r="A14" s="111"/>
      <c r="B14" s="111"/>
      <c r="C14" s="111"/>
      <c r="D14" s="111"/>
      <c r="E14" s="111"/>
      <c r="F14" s="111"/>
    </row>
    <row r="15" spans="1:6">
      <c r="A15" s="111"/>
      <c r="B15" s="111"/>
      <c r="C15" s="111"/>
      <c r="D15" s="111"/>
      <c r="E15" s="111"/>
      <c r="F15" s="111"/>
    </row>
    <row r="16" spans="1:6" s="15" customFormat="1" ht="20.100000000000001" customHeight="1">
      <c r="A16" s="18" t="s">
        <v>1122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11"/>
      <c r="B17" s="111"/>
      <c r="C17" s="111"/>
      <c r="D17" s="111"/>
      <c r="E17" s="111"/>
      <c r="F17" s="111"/>
    </row>
    <row r="18" spans="1:6">
      <c r="B18" s="116"/>
      <c r="C18" s="2" t="s">
        <v>1099</v>
      </c>
      <c r="D18" s="111"/>
      <c r="E18" s="111"/>
      <c r="F18" s="111"/>
    </row>
    <row r="19" spans="1:6">
      <c r="A19" s="111"/>
      <c r="B19" s="111"/>
      <c r="C19" s="2" t="s">
        <v>2844</v>
      </c>
      <c r="D19" s="111"/>
      <c r="E19" s="111"/>
      <c r="F19" s="111"/>
    </row>
    <row r="20" spans="1:6">
      <c r="A20" s="173"/>
      <c r="B20" s="111"/>
      <c r="D20" s="111"/>
      <c r="E20" s="111"/>
      <c r="F20" s="111"/>
    </row>
    <row r="21" spans="1:6">
      <c r="A21" s="166" t="s">
        <v>2845</v>
      </c>
      <c r="B21" s="111"/>
      <c r="C21" s="111" t="s">
        <v>1616</v>
      </c>
      <c r="D21" s="111"/>
      <c r="E21" s="111"/>
      <c r="F21" s="111"/>
    </row>
    <row r="22" spans="1:6">
      <c r="A22" s="174"/>
      <c r="B22" s="111"/>
      <c r="C22" s="111" t="s">
        <v>2931</v>
      </c>
      <c r="D22" s="111"/>
      <c r="E22" s="111"/>
      <c r="F22" s="111">
        <v>233.35</v>
      </c>
    </row>
    <row r="23" spans="1:6">
      <c r="A23" s="173"/>
      <c r="B23" s="111"/>
      <c r="C23" s="111"/>
      <c r="D23" s="111"/>
      <c r="E23" s="111"/>
      <c r="F23" s="111"/>
    </row>
    <row r="24" spans="1:6">
      <c r="C24" s="111"/>
      <c r="F24" s="111"/>
    </row>
    <row r="25" spans="1:6">
      <c r="C25" s="111"/>
      <c r="F25" s="111"/>
    </row>
    <row r="26" spans="1:6">
      <c r="C26" s="111"/>
      <c r="F26" s="111"/>
    </row>
    <row r="27" spans="1:6">
      <c r="A27" s="174"/>
      <c r="B27" s="111"/>
      <c r="C27" s="111"/>
      <c r="D27" s="111"/>
      <c r="E27" s="111"/>
      <c r="F27" s="111"/>
    </row>
    <row r="28" spans="1:6">
      <c r="A28" s="173"/>
      <c r="B28" s="111"/>
      <c r="C28" s="111"/>
      <c r="D28" s="111"/>
      <c r="E28" s="111"/>
      <c r="F28" s="111"/>
    </row>
    <row r="29" spans="1:6">
      <c r="A29" s="111"/>
      <c r="B29" s="111"/>
      <c r="C29" s="111"/>
      <c r="D29" s="111"/>
      <c r="E29" s="111"/>
      <c r="F29" s="111"/>
    </row>
    <row r="30" spans="1:6">
      <c r="A30" s="111"/>
      <c r="B30" s="111"/>
      <c r="C30" s="111"/>
      <c r="D30" s="111"/>
      <c r="E30" s="111"/>
      <c r="F30" s="111"/>
    </row>
    <row r="31" spans="1:6">
      <c r="A31" s="111"/>
      <c r="B31" s="111"/>
      <c r="C31" s="111"/>
      <c r="D31" s="111"/>
      <c r="E31" s="111"/>
      <c r="F31" s="111"/>
    </row>
    <row r="32" spans="1:6">
      <c r="A32" s="111"/>
      <c r="B32" s="111"/>
      <c r="C32" s="111"/>
      <c r="D32" s="111"/>
      <c r="E32" s="111"/>
      <c r="F32" s="111"/>
    </row>
    <row r="33" spans="1:6">
      <c r="A33" s="111"/>
      <c r="B33" s="111"/>
      <c r="C33" s="111"/>
      <c r="D33" s="111"/>
      <c r="E33" s="111"/>
      <c r="F33" s="111"/>
    </row>
    <row r="34" spans="1:6">
      <c r="A34" s="111"/>
      <c r="B34" s="111"/>
      <c r="C34" s="111"/>
      <c r="D34" s="111"/>
      <c r="E34" s="111"/>
    </row>
    <row r="35" spans="1:6" ht="13.5" thickBot="1">
      <c r="A35" s="111"/>
      <c r="B35" s="111"/>
      <c r="C35" s="111"/>
      <c r="D35" s="111"/>
      <c r="E35" s="111"/>
      <c r="F35" s="117">
        <f>SUM(F21:F34)</f>
        <v>233.35</v>
      </c>
    </row>
    <row r="36" spans="1:6" ht="13.5" thickTop="1">
      <c r="A36" s="111"/>
      <c r="B36" s="111"/>
      <c r="C36" s="111"/>
      <c r="D36" s="111"/>
      <c r="E36" s="111"/>
      <c r="F36" s="111"/>
    </row>
    <row r="37" spans="1:6" ht="20.100000000000001" customHeight="1">
      <c r="A37" s="118" t="s">
        <v>1133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Two Hundred Thirty-Three and 35/100 -----------</v>
      </c>
      <c r="C37" s="119"/>
      <c r="D37" s="119"/>
      <c r="E37" s="119"/>
      <c r="F37" s="119"/>
    </row>
    <row r="38" spans="1:6">
      <c r="A38" s="120" t="s">
        <v>11</v>
      </c>
      <c r="B38" s="111"/>
      <c r="C38" s="111"/>
      <c r="D38" s="111"/>
      <c r="E38" s="111"/>
      <c r="F38" s="111"/>
    </row>
    <row r="39" spans="1:6" ht="25.5">
      <c r="A39" s="126" t="s">
        <v>10</v>
      </c>
      <c r="B39" s="111"/>
      <c r="C39" s="111"/>
      <c r="D39" s="265" t="s">
        <v>2894</v>
      </c>
      <c r="E39" s="266"/>
      <c r="F39" s="267"/>
    </row>
    <row r="40" spans="1:6">
      <c r="A40" s="111"/>
      <c r="B40" s="111"/>
      <c r="C40" s="111"/>
      <c r="D40" s="111"/>
      <c r="E40" s="111"/>
      <c r="F40" s="111"/>
    </row>
    <row r="41" spans="1:6">
      <c r="A41" s="111"/>
      <c r="B41" s="111"/>
      <c r="C41" s="111"/>
      <c r="D41" s="111"/>
      <c r="E41" s="111"/>
      <c r="F41" s="111"/>
    </row>
    <row r="42" spans="1:6">
      <c r="A42" s="111"/>
      <c r="B42" s="111"/>
      <c r="C42" s="121"/>
      <c r="D42" s="111"/>
      <c r="E42" s="111"/>
      <c r="F42" s="111"/>
    </row>
    <row r="43" spans="1:6">
      <c r="A43" s="122"/>
      <c r="B43" s="122"/>
      <c r="C43" s="111"/>
      <c r="D43" s="111"/>
      <c r="E43" s="111"/>
      <c r="F43" s="111"/>
    </row>
    <row r="44" spans="1:6">
      <c r="A44" s="111"/>
      <c r="B44" s="111"/>
      <c r="C44" s="111"/>
      <c r="D44" s="111"/>
      <c r="E44" s="111"/>
      <c r="F44" s="111"/>
    </row>
    <row r="45" spans="1:6">
      <c r="A45" s="123" t="s">
        <v>8</v>
      </c>
      <c r="B45" s="111"/>
      <c r="C45" s="111"/>
      <c r="D45" s="123" t="s">
        <v>7</v>
      </c>
      <c r="E45" s="111"/>
      <c r="F45" s="124"/>
    </row>
    <row r="46" spans="1:6">
      <c r="A46" s="111"/>
      <c r="B46" s="111"/>
      <c r="C46" s="111"/>
      <c r="D46" s="111"/>
      <c r="E46" s="111"/>
      <c r="F46" s="111"/>
    </row>
    <row r="47" spans="1:6">
      <c r="A47" s="111"/>
      <c r="B47" s="111"/>
      <c r="C47" s="111"/>
      <c r="D47" s="111"/>
      <c r="E47" s="111"/>
      <c r="F47" s="111"/>
    </row>
    <row r="48" spans="1:6">
      <c r="A48" s="111"/>
      <c r="B48" s="111"/>
      <c r="C48" s="111"/>
      <c r="D48" s="111"/>
      <c r="E48" s="111"/>
      <c r="F48" s="111"/>
    </row>
    <row r="49" spans="1:6">
      <c r="A49" s="122"/>
      <c r="B49" s="122"/>
      <c r="C49" s="111"/>
      <c r="D49" s="122"/>
      <c r="E49" s="122"/>
      <c r="F49" s="122"/>
    </row>
    <row r="50" spans="1:6" s="3" customFormat="1" ht="17.100000000000001" customHeight="1">
      <c r="A50" s="151" t="s">
        <v>2948</v>
      </c>
      <c r="B50" s="125"/>
      <c r="C50" s="126"/>
      <c r="D50" s="126" t="s">
        <v>3</v>
      </c>
      <c r="E50" s="126"/>
      <c r="F50" s="126"/>
    </row>
    <row r="51" spans="1:6">
      <c r="A51" s="111"/>
      <c r="B51" s="111"/>
      <c r="C51" s="111"/>
      <c r="D51" s="111" t="s">
        <v>2</v>
      </c>
      <c r="E51" s="111"/>
      <c r="F51" s="111"/>
    </row>
    <row r="52" spans="1:6">
      <c r="A52" s="111"/>
      <c r="B52" s="111"/>
      <c r="C52" s="111"/>
      <c r="D52" s="111"/>
      <c r="E52" s="111"/>
      <c r="F52" s="111"/>
    </row>
    <row r="53" spans="1:6">
      <c r="A53" s="111"/>
      <c r="B53" s="111"/>
      <c r="C53" s="111"/>
      <c r="D53" s="2" t="s">
        <v>1</v>
      </c>
      <c r="E53" s="111"/>
      <c r="F53" s="111"/>
    </row>
    <row r="54" spans="1:6">
      <c r="A54" s="111"/>
      <c r="B54" s="111"/>
      <c r="C54" s="111"/>
      <c r="D54" s="2" t="s">
        <v>0</v>
      </c>
      <c r="E54" s="111"/>
      <c r="F54" s="111"/>
    </row>
    <row r="55" spans="1:6">
      <c r="A55" s="111"/>
      <c r="B55" s="111"/>
      <c r="C55" s="111"/>
      <c r="D55" s="111"/>
      <c r="E55" s="111"/>
      <c r="F55" s="111"/>
    </row>
    <row r="56" spans="1:6">
      <c r="A56" s="111"/>
      <c r="B56" s="111"/>
      <c r="C56" s="111"/>
      <c r="D56" s="111"/>
      <c r="E56" s="111"/>
      <c r="F56" s="11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B85AB-D367-4A91-8EE4-F068A7184D8D}">
  <sheetPr codeName="Sheet499">
    <tabColor rgb="FFFFFF00"/>
  </sheetPr>
  <dimension ref="A1:Q54"/>
  <sheetViews>
    <sheetView zoomScaleNormal="100" workbookViewId="0">
      <selection activeCell="D25" sqref="D25"/>
    </sheetView>
  </sheetViews>
  <sheetFormatPr defaultRowHeight="12.75"/>
  <cols>
    <col min="1" max="1" width="16.28515625" style="111" customWidth="1"/>
    <col min="2" max="2" width="12.28515625" style="111" customWidth="1"/>
    <col min="3" max="3" width="0.85546875" style="111" customWidth="1"/>
    <col min="4" max="4" width="22.42578125" style="111" customWidth="1"/>
    <col min="5" max="5" width="0.8554687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14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4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4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4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4">
      <c r="A8" s="111" t="s">
        <v>24</v>
      </c>
      <c r="F8" s="22" t="s">
        <v>23</v>
      </c>
      <c r="J8" s="111" t="s">
        <v>7087</v>
      </c>
      <c r="K8" s="111">
        <v>44165</v>
      </c>
      <c r="L8" s="111" t="s">
        <v>7088</v>
      </c>
    </row>
    <row r="9" spans="1:14">
      <c r="F9" s="112" t="s">
        <v>1134</v>
      </c>
      <c r="G9" s="483" t="s">
        <v>7087</v>
      </c>
    </row>
    <row r="10" spans="1:14">
      <c r="A10" s="111" t="s">
        <v>5009</v>
      </c>
      <c r="F10" s="112" t="s">
        <v>1180</v>
      </c>
      <c r="G10" s="487" t="s">
        <v>7089</v>
      </c>
      <c r="J10" s="483" t="s">
        <v>6479</v>
      </c>
      <c r="K10" s="483"/>
      <c r="L10" s="483"/>
      <c r="M10" s="483"/>
      <c r="N10" s="483">
        <v>1360</v>
      </c>
    </row>
    <row r="11" spans="1:14">
      <c r="A11" s="111" t="s">
        <v>5010</v>
      </c>
      <c r="F11" s="112" t="s">
        <v>1181</v>
      </c>
      <c r="G11" s="484" t="s">
        <v>1094</v>
      </c>
      <c r="J11" s="486" t="s">
        <v>6480</v>
      </c>
      <c r="K11" s="486"/>
      <c r="L11" s="483"/>
      <c r="M11" s="483"/>
      <c r="N11" s="483"/>
    </row>
    <row r="12" spans="1:14">
      <c r="A12" s="111" t="s">
        <v>1375</v>
      </c>
      <c r="F12" s="112" t="s">
        <v>1182</v>
      </c>
      <c r="G12" s="486" t="s">
        <v>7088</v>
      </c>
      <c r="J12" s="486" t="s">
        <v>6481</v>
      </c>
      <c r="K12" s="486"/>
      <c r="L12" s="483"/>
      <c r="M12" s="483"/>
      <c r="N12" s="483"/>
    </row>
    <row r="13" spans="1:14">
      <c r="A13" s="111" t="s">
        <v>1287</v>
      </c>
      <c r="G13" s="488" t="s">
        <v>5914</v>
      </c>
      <c r="J13" s="483"/>
      <c r="K13" s="483"/>
      <c r="L13" s="483"/>
      <c r="M13" s="483"/>
      <c r="N13" s="483"/>
    </row>
    <row r="14" spans="1:14">
      <c r="J14" s="483" t="s">
        <v>6482</v>
      </c>
      <c r="K14" s="483"/>
      <c r="L14" s="483"/>
      <c r="M14" s="483"/>
      <c r="N14" s="483">
        <v>1188</v>
      </c>
    </row>
    <row r="15" spans="1:14">
      <c r="J15" s="483" t="s">
        <v>6483</v>
      </c>
      <c r="K15" s="483"/>
      <c r="L15" s="483"/>
      <c r="M15" s="483"/>
      <c r="N15" s="483"/>
    </row>
    <row r="16" spans="1:14" s="15" customFormat="1" ht="20.100000000000001" customHeight="1">
      <c r="A16" s="18" t="s">
        <v>1193</v>
      </c>
      <c r="B16" s="129" t="s">
        <v>1098</v>
      </c>
      <c r="C16" s="456"/>
      <c r="D16" s="19" t="s">
        <v>14</v>
      </c>
      <c r="E16" s="19"/>
      <c r="F16" s="18"/>
      <c r="G16" s="17"/>
      <c r="H16" s="16" t="s">
        <v>13</v>
      </c>
      <c r="J16" s="483" t="s">
        <v>6484</v>
      </c>
      <c r="K16" s="483"/>
      <c r="L16" s="483"/>
      <c r="M16" s="483"/>
      <c r="N16" s="483">
        <v>-600</v>
      </c>
    </row>
    <row r="17" spans="1:17">
      <c r="J17" s="483"/>
      <c r="K17" s="483"/>
      <c r="L17" s="483"/>
      <c r="M17" s="483"/>
      <c r="N17" s="483"/>
    </row>
    <row r="18" spans="1:17">
      <c r="A18" s="116"/>
      <c r="B18" s="116"/>
      <c r="C18" s="116"/>
      <c r="D18" s="2"/>
      <c r="E18" s="2"/>
    </row>
    <row r="19" spans="1:17">
      <c r="A19" s="485" t="s">
        <v>7090</v>
      </c>
      <c r="B19" s="416" t="s">
        <v>7091</v>
      </c>
      <c r="C19" s="416"/>
      <c r="D19" s="483" t="s">
        <v>6923</v>
      </c>
      <c r="E19" s="483"/>
      <c r="F19" s="483"/>
      <c r="G19" s="483"/>
      <c r="H19" s="483">
        <v>3000</v>
      </c>
      <c r="J19" s="485" t="s">
        <v>6921</v>
      </c>
      <c r="K19" s="416" t="s">
        <v>6922</v>
      </c>
      <c r="L19" s="416"/>
      <c r="M19" s="483" t="s">
        <v>6923</v>
      </c>
      <c r="N19" s="483"/>
      <c r="O19" s="483"/>
      <c r="P19" s="483"/>
      <c r="Q19" s="483">
        <v>3000</v>
      </c>
    </row>
    <row r="20" spans="1:17">
      <c r="A20" s="483"/>
      <c r="B20" s="483"/>
      <c r="C20" s="483"/>
      <c r="D20" s="486" t="s">
        <v>6924</v>
      </c>
      <c r="E20" s="486"/>
      <c r="F20" s="483"/>
      <c r="G20" s="483"/>
      <c r="H20" s="483"/>
      <c r="J20" s="483"/>
      <c r="K20" s="483"/>
      <c r="L20" s="483"/>
      <c r="M20" s="486" t="s">
        <v>6924</v>
      </c>
      <c r="N20" s="486"/>
      <c r="O20" s="483"/>
      <c r="P20" s="483"/>
      <c r="Q20" s="483"/>
    </row>
    <row r="21" spans="1:17">
      <c r="D21" s="486" t="s">
        <v>7092</v>
      </c>
      <c r="E21" s="120"/>
      <c r="J21" s="483"/>
      <c r="K21" s="483"/>
      <c r="L21" s="483"/>
      <c r="M21" s="486" t="s">
        <v>6929</v>
      </c>
      <c r="N21" s="486"/>
      <c r="O21" s="483"/>
      <c r="P21" s="483"/>
      <c r="Q21" s="483"/>
    </row>
    <row r="22" spans="1:17">
      <c r="A22" s="116"/>
      <c r="B22" s="116"/>
      <c r="C22" s="116"/>
      <c r="D22" s="483"/>
      <c r="J22" s="485"/>
      <c r="K22" s="485"/>
      <c r="L22" s="485"/>
      <c r="M22" s="483"/>
      <c r="N22" s="483"/>
      <c r="O22" s="483"/>
      <c r="P22" s="483"/>
      <c r="Q22" s="483"/>
    </row>
    <row r="23" spans="1:17">
      <c r="A23" s="485" t="s">
        <v>7090</v>
      </c>
      <c r="B23" s="416" t="s">
        <v>7093</v>
      </c>
      <c r="C23" s="121"/>
      <c r="D23" s="483" t="s">
        <v>6926</v>
      </c>
      <c r="H23" s="111">
        <v>1880</v>
      </c>
      <c r="J23" s="485" t="s">
        <v>6921</v>
      </c>
      <c r="K23" s="416" t="s">
        <v>6925</v>
      </c>
      <c r="L23" s="121"/>
      <c r="M23" s="483" t="s">
        <v>6926</v>
      </c>
      <c r="N23" s="483"/>
      <c r="O23" s="483"/>
      <c r="P23" s="483"/>
      <c r="Q23" s="483">
        <f>3760/2</f>
        <v>1880</v>
      </c>
    </row>
    <row r="24" spans="1:17">
      <c r="A24" s="116"/>
      <c r="B24" s="116"/>
      <c r="C24" s="116"/>
      <c r="D24" s="483" t="s">
        <v>6927</v>
      </c>
      <c r="J24" s="485"/>
      <c r="K24" s="485"/>
      <c r="L24" s="485"/>
      <c r="M24" s="483" t="s">
        <v>6927</v>
      </c>
      <c r="N24" s="483"/>
      <c r="O24" s="483"/>
      <c r="P24" s="483"/>
      <c r="Q24" s="483"/>
    </row>
    <row r="25" spans="1:17">
      <c r="D25" s="483" t="s">
        <v>7094</v>
      </c>
      <c r="J25" s="483"/>
      <c r="K25" s="483"/>
      <c r="L25" s="483"/>
      <c r="M25" s="483" t="s">
        <v>6928</v>
      </c>
      <c r="N25" s="483"/>
      <c r="O25" s="483"/>
      <c r="P25" s="483"/>
      <c r="Q25" s="483"/>
    </row>
    <row r="26" spans="1:17">
      <c r="A26" s="116"/>
      <c r="B26" s="116"/>
      <c r="C26" s="116"/>
      <c r="D26" s="483"/>
      <c r="J26" s="485"/>
      <c r="K26" s="485"/>
      <c r="L26" s="485"/>
      <c r="M26" s="483"/>
      <c r="N26" s="483"/>
      <c r="O26" s="483"/>
      <c r="P26" s="483"/>
      <c r="Q26" s="483"/>
    </row>
    <row r="27" spans="1:17">
      <c r="A27" s="485" t="s">
        <v>7090</v>
      </c>
      <c r="B27" s="416" t="s">
        <v>7095</v>
      </c>
      <c r="D27" s="483" t="s">
        <v>6997</v>
      </c>
      <c r="H27" s="111">
        <v>1062.5</v>
      </c>
    </row>
    <row r="28" spans="1:17">
      <c r="A28" s="116"/>
      <c r="B28" s="121"/>
      <c r="C28" s="121"/>
      <c r="D28" s="486" t="s">
        <v>7096</v>
      </c>
    </row>
    <row r="29" spans="1:17">
      <c r="A29" s="116"/>
      <c r="B29" s="121"/>
      <c r="C29" s="121"/>
      <c r="D29" s="486"/>
      <c r="L29" s="483" t="s">
        <v>6997</v>
      </c>
      <c r="M29" s="483"/>
      <c r="N29" s="483"/>
      <c r="O29" s="483"/>
      <c r="P29" s="483">
        <f>2125/2</f>
        <v>1062.5</v>
      </c>
    </row>
    <row r="30" spans="1:17">
      <c r="A30" s="255"/>
      <c r="B30" s="121"/>
      <c r="C30" s="121"/>
      <c r="L30" s="486" t="s">
        <v>6998</v>
      </c>
      <c r="M30" s="486"/>
      <c r="N30" s="483"/>
      <c r="O30" s="483"/>
      <c r="P30" s="483"/>
    </row>
    <row r="31" spans="1:17">
      <c r="L31" s="486"/>
      <c r="M31" s="486"/>
      <c r="N31" s="483"/>
      <c r="O31" s="483"/>
      <c r="P31" s="483"/>
    </row>
    <row r="32" spans="1:17">
      <c r="L32" s="483" t="s">
        <v>6923</v>
      </c>
      <c r="M32" s="483"/>
      <c r="N32" s="483"/>
      <c r="O32" s="483"/>
      <c r="P32" s="483"/>
    </row>
    <row r="33" spans="1:16">
      <c r="A33" s="116"/>
      <c r="B33" s="121"/>
      <c r="C33" s="121"/>
      <c r="L33" s="486" t="s">
        <v>6924</v>
      </c>
      <c r="M33" s="483"/>
      <c r="N33" s="483"/>
      <c r="O33" s="483"/>
      <c r="P33" s="483"/>
    </row>
    <row r="34" spans="1:16">
      <c r="A34" s="116"/>
      <c r="B34" s="121"/>
      <c r="C34" s="121"/>
      <c r="H34" s="122"/>
      <c r="L34" s="486" t="s">
        <v>6929</v>
      </c>
      <c r="M34" s="483"/>
      <c r="N34" s="483"/>
      <c r="O34" s="483"/>
      <c r="P34" s="483"/>
    </row>
    <row r="35" spans="1:16" ht="13.5" thickBot="1">
      <c r="B35" s="121"/>
      <c r="C35" s="121"/>
      <c r="H35" s="127">
        <f>SUM(H18:H33)</f>
        <v>5942.5</v>
      </c>
      <c r="L35" s="483"/>
      <c r="M35" s="483"/>
      <c r="N35" s="483"/>
      <c r="O35" s="483"/>
      <c r="P35" s="483"/>
    </row>
    <row r="36" spans="1:16" ht="13.5" thickTop="1">
      <c r="L36" s="483" t="s">
        <v>6926</v>
      </c>
      <c r="M36" s="483"/>
      <c r="N36" s="483"/>
      <c r="O36" s="483"/>
      <c r="P36" s="483"/>
    </row>
    <row r="37" spans="1:16" ht="20.100000000000001" customHeight="1">
      <c r="A37" s="118" t="s">
        <v>204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Five Thousand Nine Hundred Forty-Two and 50/100 -----------</v>
      </c>
      <c r="C37" s="202"/>
      <c r="D37" s="119"/>
      <c r="E37" s="119"/>
      <c r="F37" s="119"/>
      <c r="G37" s="119"/>
      <c r="H37" s="119"/>
      <c r="L37" s="483" t="s">
        <v>6927</v>
      </c>
      <c r="M37" s="483"/>
      <c r="N37" s="483"/>
      <c r="O37" s="483"/>
      <c r="P37" s="483"/>
    </row>
    <row r="38" spans="1:16">
      <c r="A38" s="120" t="s">
        <v>11</v>
      </c>
      <c r="L38" s="483" t="s">
        <v>6928</v>
      </c>
      <c r="M38" s="483"/>
      <c r="N38" s="483"/>
      <c r="O38" s="483"/>
      <c r="P38" s="483"/>
    </row>
    <row r="39" spans="1:16" ht="25.5">
      <c r="A39" s="126" t="s">
        <v>10</v>
      </c>
      <c r="F39" s="265" t="s">
        <v>2894</v>
      </c>
      <c r="G39" s="266"/>
      <c r="H39" s="267"/>
      <c r="L39" s="483"/>
      <c r="M39" s="483"/>
      <c r="N39" s="483"/>
      <c r="O39" s="483"/>
      <c r="P39" s="483"/>
    </row>
    <row r="40" spans="1:16">
      <c r="L40" s="483"/>
      <c r="M40" s="483"/>
      <c r="N40" s="483"/>
      <c r="O40" s="483"/>
      <c r="P40" s="483"/>
    </row>
    <row r="42" spans="1:16">
      <c r="A42" s="111" t="s">
        <v>52</v>
      </c>
      <c r="D42" s="121"/>
      <c r="E42" s="121"/>
    </row>
    <row r="43" spans="1:16">
      <c r="A43" s="122"/>
      <c r="B43" s="122"/>
      <c r="C43" s="433"/>
    </row>
    <row r="45" spans="1:16">
      <c r="A45" s="123" t="s">
        <v>8</v>
      </c>
      <c r="D45" s="123" t="s">
        <v>8</v>
      </c>
      <c r="F45" s="123" t="s">
        <v>7</v>
      </c>
      <c r="H45" s="124"/>
    </row>
    <row r="49" spans="1:8">
      <c r="A49" s="122" t="s">
        <v>51</v>
      </c>
      <c r="B49" s="122"/>
      <c r="C49" s="433"/>
      <c r="D49" s="122" t="s">
        <v>51</v>
      </c>
      <c r="F49" s="122"/>
      <c r="G49" s="122"/>
      <c r="H49" s="122"/>
    </row>
    <row r="50" spans="1:8" s="126" customFormat="1" ht="17.100000000000001" customHeight="1">
      <c r="A50" s="151" t="s">
        <v>2948</v>
      </c>
      <c r="B50" s="125"/>
      <c r="C50" s="125"/>
      <c r="D50" s="151" t="s">
        <v>103</v>
      </c>
      <c r="F50" s="126" t="s">
        <v>3</v>
      </c>
    </row>
    <row r="51" spans="1:8">
      <c r="F51" s="111" t="s">
        <v>2</v>
      </c>
    </row>
    <row r="53" spans="1:8">
      <c r="F53" s="2" t="s">
        <v>1</v>
      </c>
    </row>
    <row r="54" spans="1:8">
      <c r="F54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78740157480314965" header="0.51181102362204722" footer="0.51181102362204722"/>
  <pageSetup paperSize="9" scale="90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500"/>
  <dimension ref="A1:S119"/>
  <sheetViews>
    <sheetView view="pageBreakPreview" topLeftCell="A16" zoomScaleNormal="100" zoomScaleSheetLayoutView="100" workbookViewId="0">
      <selection activeCell="G9" sqref="G9:G13"/>
    </sheetView>
  </sheetViews>
  <sheetFormatPr defaultRowHeight="12.75"/>
  <cols>
    <col min="1" max="1" width="16.28515625" style="111" customWidth="1"/>
    <col min="2" max="2" width="12.28515625" style="111" customWidth="1"/>
    <col min="3" max="3" width="1.28515625" style="111" customWidth="1"/>
    <col min="4" max="4" width="22.42578125" style="111" customWidth="1"/>
    <col min="5" max="5" width="1.7109375" style="111" customWidth="1"/>
    <col min="6" max="6" width="13.140625" style="111" customWidth="1"/>
    <col min="7" max="7" width="10.5703125" style="111" customWidth="1"/>
    <col min="8" max="8" width="13.140625" style="111" customWidth="1"/>
    <col min="9" max="16384" width="9.140625" style="111"/>
  </cols>
  <sheetData>
    <row r="1" spans="1:19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9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9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9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9">
      <c r="A8" s="111" t="s">
        <v>24</v>
      </c>
      <c r="F8" s="22" t="s">
        <v>23</v>
      </c>
    </row>
    <row r="9" spans="1:19">
      <c r="F9" s="112" t="s">
        <v>1134</v>
      </c>
      <c r="G9" s="132" t="s">
        <v>4866</v>
      </c>
    </row>
    <row r="10" spans="1:19">
      <c r="A10" s="111" t="s">
        <v>4868</v>
      </c>
      <c r="F10" s="112" t="s">
        <v>1180</v>
      </c>
      <c r="G10" s="132" t="s">
        <v>4865</v>
      </c>
    </row>
    <row r="11" spans="1:19">
      <c r="A11" s="111" t="s">
        <v>4869</v>
      </c>
      <c r="F11" s="112" t="s">
        <v>1181</v>
      </c>
      <c r="G11" s="132" t="s">
        <v>1094</v>
      </c>
    </row>
    <row r="12" spans="1:19">
      <c r="A12" s="111" t="s">
        <v>4870</v>
      </c>
      <c r="F12" s="112" t="s">
        <v>1182</v>
      </c>
      <c r="G12" s="120" t="s">
        <v>4867</v>
      </c>
    </row>
    <row r="13" spans="1:19">
      <c r="A13" s="111" t="s">
        <v>4871</v>
      </c>
      <c r="K13" s="116"/>
      <c r="L13" s="121"/>
      <c r="M13" s="121"/>
      <c r="N13" s="2"/>
      <c r="O13" s="2"/>
    </row>
    <row r="14" spans="1:19">
      <c r="M14" s="2"/>
    </row>
    <row r="16" spans="1:19" s="15" customFormat="1" ht="20.100000000000001" customHeight="1">
      <c r="A16" s="18" t="s">
        <v>1193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  <c r="M16" s="111"/>
      <c r="N16" s="111"/>
      <c r="O16" s="111"/>
      <c r="P16" s="111"/>
      <c r="Q16" s="111"/>
      <c r="R16" s="111"/>
      <c r="S16" s="111"/>
    </row>
    <row r="18" spans="1:15">
      <c r="C18" s="121"/>
      <c r="D18" s="2" t="s">
        <v>4872</v>
      </c>
    </row>
    <row r="19" spans="1:15">
      <c r="A19" s="116"/>
      <c r="B19" s="116"/>
      <c r="C19" s="121"/>
    </row>
    <row r="20" spans="1:15">
      <c r="A20" s="116" t="s">
        <v>4873</v>
      </c>
      <c r="B20" s="116" t="s">
        <v>4874</v>
      </c>
      <c r="C20" s="121"/>
      <c r="D20" s="111" t="s">
        <v>4876</v>
      </c>
      <c r="H20" s="111">
        <v>4233</v>
      </c>
    </row>
    <row r="21" spans="1:15">
      <c r="A21" s="116"/>
      <c r="B21" s="121"/>
      <c r="C21" s="121"/>
      <c r="D21" s="120" t="s">
        <v>4875</v>
      </c>
    </row>
    <row r="22" spans="1:15">
      <c r="A22" s="116"/>
      <c r="B22" s="121"/>
      <c r="C22" s="121"/>
    </row>
    <row r="25" spans="1:15">
      <c r="A25" s="116"/>
      <c r="B25" s="116"/>
      <c r="C25" s="121"/>
    </row>
    <row r="26" spans="1:15">
      <c r="A26" s="116"/>
      <c r="B26" s="121"/>
      <c r="C26" s="121"/>
      <c r="M26" s="116"/>
    </row>
    <row r="28" spans="1:15">
      <c r="A28" s="116"/>
      <c r="B28" s="116"/>
      <c r="D28" s="120"/>
      <c r="N28" s="121"/>
      <c r="O28" s="2"/>
    </row>
    <row r="29" spans="1:15">
      <c r="C29" s="121"/>
      <c r="L29" s="116"/>
      <c r="M29" s="121"/>
      <c r="N29" s="121"/>
    </row>
    <row r="30" spans="1:15">
      <c r="A30" s="116"/>
      <c r="B30" s="121"/>
      <c r="C30" s="121"/>
      <c r="L30" s="116"/>
      <c r="M30" s="121"/>
      <c r="N30" s="121"/>
    </row>
    <row r="31" spans="1:15">
      <c r="A31" s="116"/>
      <c r="B31" s="116"/>
      <c r="C31" s="121"/>
      <c r="L31" s="116"/>
      <c r="M31" s="121"/>
      <c r="N31" s="121"/>
    </row>
    <row r="32" spans="1:15">
      <c r="A32" s="116"/>
      <c r="B32" s="121"/>
      <c r="C32" s="121"/>
      <c r="L32" s="116"/>
      <c r="M32" s="121"/>
      <c r="N32" s="121"/>
    </row>
    <row r="33" spans="1:15">
      <c r="A33" s="116"/>
      <c r="B33" s="121"/>
      <c r="C33" s="121"/>
      <c r="O33" s="167"/>
    </row>
    <row r="34" spans="1:15" hidden="1">
      <c r="A34" s="116"/>
      <c r="B34" s="121"/>
      <c r="C34" s="121"/>
      <c r="D34" s="2"/>
    </row>
    <row r="35" spans="1:15" hidden="1">
      <c r="E35" s="2"/>
      <c r="K35" s="116"/>
    </row>
    <row r="36" spans="1:15" hidden="1">
      <c r="A36" s="116"/>
      <c r="B36" s="121"/>
      <c r="C36" s="121"/>
    </row>
    <row r="37" spans="1:15" hidden="1">
      <c r="A37" s="116"/>
      <c r="B37" s="121"/>
      <c r="C37" s="121"/>
    </row>
    <row r="38" spans="1:15" hidden="1">
      <c r="A38" s="116"/>
      <c r="B38" s="121"/>
      <c r="C38" s="121"/>
    </row>
    <row r="39" spans="1:15" hidden="1">
      <c r="A39" s="116"/>
      <c r="B39" s="121"/>
      <c r="C39" s="121"/>
    </row>
    <row r="40" spans="1:15" hidden="1">
      <c r="A40" s="116"/>
      <c r="B40" s="121"/>
      <c r="C40" s="121"/>
    </row>
    <row r="41" spans="1:15" hidden="1">
      <c r="A41" s="116"/>
      <c r="B41" s="121"/>
      <c r="C41" s="121"/>
    </row>
    <row r="42" spans="1:15" hidden="1">
      <c r="A42" s="116"/>
      <c r="B42" s="121"/>
      <c r="C42" s="121"/>
    </row>
    <row r="43" spans="1:15" hidden="1">
      <c r="A43" s="116"/>
      <c r="B43" s="121"/>
      <c r="C43" s="121"/>
      <c r="K43" s="116"/>
      <c r="L43" s="121"/>
      <c r="M43" s="121"/>
    </row>
    <row r="44" spans="1:15" hidden="1">
      <c r="A44" s="116"/>
      <c r="B44" s="121"/>
      <c r="C44" s="121"/>
      <c r="K44" s="116"/>
      <c r="L44" s="121"/>
      <c r="M44" s="121"/>
    </row>
    <row r="46" spans="1:15" ht="13.5" thickBot="1">
      <c r="H46" s="127">
        <f>SUM(H18:H45)</f>
        <v>4233</v>
      </c>
    </row>
    <row r="47" spans="1:15" ht="13.5" thickTop="1">
      <c r="K47" s="116"/>
      <c r="L47" s="121"/>
      <c r="M47" s="121"/>
    </row>
    <row r="48" spans="1:15" ht="20.100000000000001" customHeight="1">
      <c r="A48" s="118" t="s">
        <v>204</v>
      </c>
      <c r="B48" s="202" t="str">
        <f>IF(OR(H46&gt;1000000,H46&lt;=0),"",IF(H46&lt;1000,"",IF(MOD(H46,1000000)&gt;=100000,INDEX(numbers,TRUNC(MOD(H46,1000000)/100000,0)+1)&amp;" Hundred","")&amp;IF(MOD(H46,100000)&gt;=20000," "&amp;INDEX(tens,TRUNC(MOD(H46,100000)/10000,0)+1)&amp;IF(MOD(MOD(H46,100000),10000)&gt;=1000,"-"&amp;INDEX(numbers,TRUNC(MOD(MOD(H46,100000),10000)/1000,0)+1),""),IF(MOD(H46,100000)&gt;=1000," "&amp;INDEX(numbers,TRUNC(MOD(H46,100000)/1000,0)+1),""))&amp;" Thousand") &amp; IF(H46&lt;1,"Zero Dollars",IF(MOD(H46,1000)&gt;=100," "&amp;INDEX(numbers,TRUNC(MOD(H46,1000)/100,0)+1)&amp;" Hundred","")&amp;IF(MOD(H46,100)&gt;=20," "&amp;INDEX(tens,TRUNC(MOD(H46,100)/10,0)+1)&amp;IF(MOD(MOD(H46,100),10)&gt;=1,"-"&amp;INDEX(numbers,TRUNC(MOD(MOD(H46,100),10),0)+1),""),IF(MOD(H46,100)&gt;=1," "&amp;INDEX(numbers,TRUNC(MOD(H46,100),0)+1),""))&amp;"") &amp; " and " &amp; IF(MOD(H46,1)&lt;0.005,"NO",ROUND(MOD(H46,1)*100,0)) &amp; "/100 -----------")</f>
        <v xml:space="preserve"> Four Thousand Two Hundred Thirty-Three and NO/100 -----------</v>
      </c>
      <c r="C48" s="202"/>
      <c r="D48" s="119"/>
      <c r="E48" s="119"/>
      <c r="F48" s="119"/>
      <c r="G48" s="119"/>
      <c r="H48" s="119"/>
      <c r="K48" s="116"/>
      <c r="L48" s="121"/>
      <c r="M48" s="121"/>
      <c r="N48" s="2"/>
      <c r="O48" s="2"/>
    </row>
    <row r="49" spans="1:18">
      <c r="A49" s="120" t="s">
        <v>11</v>
      </c>
    </row>
    <row r="50" spans="1:18" ht="25.5">
      <c r="A50" s="126" t="s">
        <v>10</v>
      </c>
      <c r="D50" s="123"/>
      <c r="F50" s="265" t="s">
        <v>2894</v>
      </c>
      <c r="G50" s="266"/>
      <c r="H50" s="267"/>
      <c r="K50" s="116"/>
      <c r="L50" s="121"/>
      <c r="M50" s="121"/>
    </row>
    <row r="53" spans="1:18">
      <c r="A53" s="111" t="s">
        <v>52</v>
      </c>
      <c r="E53" s="121"/>
      <c r="K53" s="116"/>
      <c r="L53" s="121"/>
      <c r="M53" s="121"/>
    </row>
    <row r="54" spans="1:18">
      <c r="A54" s="122"/>
      <c r="B54" s="122"/>
    </row>
    <row r="55" spans="1:18">
      <c r="D55" s="151"/>
      <c r="K55" s="116"/>
      <c r="L55" s="116"/>
      <c r="M55" s="121"/>
    </row>
    <row r="56" spans="1:18">
      <c r="K56" s="116"/>
      <c r="L56" s="121"/>
      <c r="M56" s="121"/>
    </row>
    <row r="57" spans="1:18">
      <c r="A57" s="123" t="s">
        <v>8</v>
      </c>
      <c r="D57" s="123" t="s">
        <v>8</v>
      </c>
      <c r="F57" s="123" t="s">
        <v>7</v>
      </c>
      <c r="H57" s="124"/>
      <c r="K57" s="116"/>
      <c r="L57" s="121"/>
      <c r="M57" s="121"/>
    </row>
    <row r="58" spans="1:18">
      <c r="K58" s="116"/>
      <c r="L58" s="121"/>
      <c r="M58" s="121"/>
    </row>
    <row r="59" spans="1:18">
      <c r="K59" s="116"/>
      <c r="L59" s="116"/>
      <c r="M59" s="121"/>
    </row>
    <row r="60" spans="1:18">
      <c r="K60" s="116"/>
      <c r="L60" s="121"/>
      <c r="M60" s="121"/>
    </row>
    <row r="61" spans="1:18">
      <c r="A61" s="122" t="s">
        <v>51</v>
      </c>
      <c r="B61" s="122"/>
      <c r="D61" s="122" t="s">
        <v>51</v>
      </c>
      <c r="F61" s="122"/>
      <c r="G61" s="122"/>
      <c r="H61" s="122"/>
      <c r="K61" s="116"/>
      <c r="L61" s="121"/>
      <c r="M61" s="121"/>
    </row>
    <row r="62" spans="1:18" s="126" customFormat="1" ht="17.100000000000001" customHeight="1">
      <c r="A62" s="151" t="s">
        <v>2948</v>
      </c>
      <c r="B62" s="125"/>
      <c r="C62" s="125"/>
      <c r="D62" s="151" t="s">
        <v>103</v>
      </c>
      <c r="F62" s="126" t="s">
        <v>3</v>
      </c>
      <c r="K62" s="116"/>
      <c r="L62" s="121"/>
      <c r="M62" s="121"/>
      <c r="N62" s="111"/>
      <c r="O62" s="111"/>
      <c r="P62" s="111"/>
      <c r="Q62" s="111"/>
      <c r="R62" s="111"/>
    </row>
    <row r="63" spans="1:18">
      <c r="F63" s="111" t="s">
        <v>2</v>
      </c>
      <c r="K63" s="116"/>
      <c r="L63" s="121"/>
      <c r="M63" s="121"/>
    </row>
    <row r="65" spans="6:14">
      <c r="F65" s="2" t="s">
        <v>1</v>
      </c>
      <c r="M65" s="121"/>
      <c r="N65" s="2"/>
    </row>
    <row r="66" spans="6:14">
      <c r="F66" s="2" t="s">
        <v>0</v>
      </c>
      <c r="K66" s="116"/>
      <c r="L66" s="121"/>
      <c r="M66" s="121"/>
    </row>
    <row r="67" spans="6:14">
      <c r="K67" s="116"/>
      <c r="L67" s="121"/>
      <c r="M67" s="121"/>
    </row>
    <row r="68" spans="6:14">
      <c r="K68" s="116"/>
      <c r="L68" s="121"/>
      <c r="M68" s="121"/>
    </row>
    <row r="69" spans="6:14">
      <c r="K69" s="116"/>
      <c r="L69" s="121"/>
      <c r="M69" s="121"/>
    </row>
    <row r="70" spans="6:14">
      <c r="N70" s="167"/>
    </row>
    <row r="71" spans="6:14">
      <c r="K71" s="116"/>
      <c r="L71" s="121"/>
      <c r="M71" s="121"/>
    </row>
    <row r="72" spans="6:14">
      <c r="K72" s="116"/>
      <c r="L72" s="121"/>
      <c r="M72" s="121"/>
    </row>
    <row r="73" spans="6:14">
      <c r="K73" s="116"/>
      <c r="L73" s="121"/>
      <c r="M73" s="121"/>
    </row>
    <row r="76" spans="6:14">
      <c r="K76" s="116"/>
      <c r="L76" s="121"/>
      <c r="M76" s="121"/>
    </row>
    <row r="77" spans="6:14">
      <c r="K77" s="116"/>
      <c r="L77" s="121"/>
      <c r="M77" s="121"/>
    </row>
    <row r="78" spans="6:14">
      <c r="N78" s="2"/>
    </row>
    <row r="92" spans="14:14">
      <c r="N92" s="120"/>
    </row>
    <row r="97" spans="11:14">
      <c r="N97" s="120"/>
    </row>
    <row r="100" spans="11:14">
      <c r="N100" s="2"/>
    </row>
    <row r="102" spans="11:14">
      <c r="M102" s="121"/>
      <c r="N102" s="2"/>
    </row>
    <row r="103" spans="11:14">
      <c r="K103" s="116"/>
      <c r="L103" s="116"/>
      <c r="M103" s="121"/>
    </row>
    <row r="104" spans="11:14">
      <c r="K104" s="116"/>
      <c r="L104" s="116"/>
      <c r="M104" s="121"/>
    </row>
    <row r="105" spans="11:14">
      <c r="K105" s="116"/>
      <c r="L105" s="121"/>
      <c r="M105" s="121"/>
      <c r="N105" s="120"/>
    </row>
    <row r="106" spans="11:14">
      <c r="K106" s="116"/>
      <c r="L106" s="121"/>
      <c r="M106" s="121"/>
    </row>
    <row r="109" spans="11:14">
      <c r="K109" s="116"/>
      <c r="L109" s="116"/>
      <c r="M109" s="121"/>
      <c r="N109" s="2"/>
    </row>
    <row r="112" spans="11:14">
      <c r="N112" s="120"/>
    </row>
    <row r="119" spans="14:14">
      <c r="N119" s="120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7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79">
    <pageSetUpPr fitToPage="1"/>
  </sheetPr>
  <dimension ref="A1:P60"/>
  <sheetViews>
    <sheetView view="pageBreakPreview" zoomScaleNormal="100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7.85546875" style="227" customWidth="1"/>
    <col min="3" max="3" width="0.5703125" style="227" customWidth="1"/>
    <col min="4" max="4" width="22.42578125" style="227" customWidth="1"/>
    <col min="5" max="5" width="1.140625" style="227" customWidth="1"/>
    <col min="6" max="6" width="16.42578125" style="227" customWidth="1"/>
    <col min="7" max="7" width="8.140625" style="227" customWidth="1"/>
    <col min="8" max="8" width="13.28515625" style="227" customWidth="1"/>
    <col min="9" max="9" width="16.140625" style="209" customWidth="1"/>
    <col min="10" max="16384" width="9.140625" style="209"/>
  </cols>
  <sheetData>
    <row r="1" spans="1:16" ht="15" customHeight="1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6" ht="12.75" customHeight="1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6" ht="12.75" customHeight="1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6" ht="12.75" customHeight="1">
      <c r="A4" s="532" t="s">
        <v>1684</v>
      </c>
      <c r="B4" s="532"/>
      <c r="C4" s="532"/>
      <c r="D4" s="532"/>
      <c r="E4" s="532"/>
      <c r="F4" s="532"/>
      <c r="G4" s="532"/>
      <c r="H4" s="532"/>
      <c r="J4" s="209" t="s">
        <v>5148</v>
      </c>
      <c r="K4" s="209">
        <v>43373</v>
      </c>
      <c r="M4" s="209" t="s">
        <v>5149</v>
      </c>
    </row>
    <row r="5" spans="1:16" ht="12.75" customHeight="1">
      <c r="A5" s="131"/>
      <c r="B5" s="131"/>
      <c r="C5" s="131"/>
      <c r="D5" s="131"/>
      <c r="E5" s="131"/>
      <c r="F5" s="131"/>
      <c r="G5" s="131"/>
      <c r="H5" s="131"/>
    </row>
    <row r="6" spans="1:16" ht="12.75" customHeight="1">
      <c r="A6" s="131"/>
      <c r="B6" s="131"/>
      <c r="C6" s="131"/>
      <c r="D6" s="131"/>
      <c r="E6" s="131"/>
      <c r="F6" s="131"/>
      <c r="G6" s="131"/>
      <c r="H6" s="131"/>
      <c r="J6" s="209" t="s">
        <v>5288</v>
      </c>
      <c r="K6" s="209">
        <v>43436</v>
      </c>
      <c r="M6" s="209" t="s">
        <v>5289</v>
      </c>
    </row>
    <row r="7" spans="1:16" ht="12.75" customHeight="1">
      <c r="A7" s="131"/>
      <c r="B7" s="131"/>
      <c r="C7" s="131"/>
      <c r="D7" s="131"/>
      <c r="E7" s="131"/>
      <c r="F7" s="131"/>
      <c r="G7" s="131"/>
      <c r="H7" s="131"/>
    </row>
    <row r="8" spans="1:16" s="211" customFormat="1" ht="12.75" customHeight="1">
      <c r="A8" s="147" t="s">
        <v>24</v>
      </c>
      <c r="B8" s="147"/>
      <c r="C8" s="147"/>
      <c r="D8" s="147"/>
      <c r="E8" s="147"/>
      <c r="F8" s="210" t="s">
        <v>23</v>
      </c>
      <c r="G8" s="147"/>
      <c r="H8" s="147"/>
      <c r="I8" s="211" t="s">
        <v>5825</v>
      </c>
      <c r="J8" s="211">
        <v>43646</v>
      </c>
      <c r="L8" s="211" t="s">
        <v>5826</v>
      </c>
      <c r="M8" s="211" t="s">
        <v>4720</v>
      </c>
    </row>
    <row r="9" spans="1:16" s="211" customFormat="1" ht="12.75" customHeight="1">
      <c r="A9" s="147"/>
      <c r="B9" s="147"/>
      <c r="C9" s="147"/>
      <c r="D9" s="147"/>
      <c r="E9" s="147"/>
      <c r="F9" s="212" t="s">
        <v>1723</v>
      </c>
      <c r="G9" s="132" t="s">
        <v>5825</v>
      </c>
      <c r="H9" s="131"/>
      <c r="L9" s="147" t="s">
        <v>5150</v>
      </c>
      <c r="M9" s="224"/>
      <c r="N9" s="224"/>
      <c r="O9" s="147">
        <v>1500</v>
      </c>
    </row>
    <row r="10" spans="1:16" s="211" customFormat="1" ht="12.75" customHeight="1">
      <c r="A10" s="147" t="s">
        <v>4720</v>
      </c>
      <c r="B10" s="147"/>
      <c r="C10" s="147"/>
      <c r="D10" s="147"/>
      <c r="E10" s="147"/>
      <c r="F10" s="212" t="s">
        <v>1340</v>
      </c>
      <c r="G10" s="132" t="s">
        <v>5827</v>
      </c>
      <c r="H10" s="131"/>
      <c r="L10" s="147" t="s">
        <v>5151</v>
      </c>
      <c r="M10" s="224"/>
      <c r="N10" s="224"/>
      <c r="O10" s="147">
        <v>1500</v>
      </c>
    </row>
    <row r="11" spans="1:16" s="211" customFormat="1" ht="12.75" customHeight="1">
      <c r="A11" s="147" t="s">
        <v>4721</v>
      </c>
      <c r="B11" s="147"/>
      <c r="C11" s="147"/>
      <c r="D11" s="147"/>
      <c r="E11" s="147"/>
      <c r="F11" s="212" t="s">
        <v>1341</v>
      </c>
      <c r="G11" s="132" t="s">
        <v>1094</v>
      </c>
      <c r="H11" s="131"/>
      <c r="L11" s="147"/>
      <c r="M11" s="224"/>
      <c r="N11" s="224"/>
      <c r="O11" s="147"/>
    </row>
    <row r="12" spans="1:16" s="211" customFormat="1" ht="12.75" customHeight="1">
      <c r="A12" s="147" t="s">
        <v>4722</v>
      </c>
      <c r="B12" s="147"/>
      <c r="C12" s="147"/>
      <c r="D12" s="147"/>
      <c r="E12" s="147"/>
      <c r="F12" s="212" t="s">
        <v>2136</v>
      </c>
      <c r="G12" s="120" t="s">
        <v>5826</v>
      </c>
      <c r="H12" s="131"/>
      <c r="J12" s="222">
        <v>43131</v>
      </c>
      <c r="K12" s="303"/>
      <c r="L12" s="147" t="s">
        <v>4797</v>
      </c>
      <c r="M12" s="224"/>
      <c r="N12" s="224"/>
      <c r="O12" s="147">
        <v>1500</v>
      </c>
      <c r="P12" s="221"/>
    </row>
    <row r="13" spans="1:16" s="211" customFormat="1" ht="12.75" customHeight="1">
      <c r="A13" s="147" t="s">
        <v>4723</v>
      </c>
      <c r="B13" s="147"/>
      <c r="C13" s="147"/>
      <c r="D13" s="147"/>
      <c r="E13" s="147"/>
      <c r="F13" s="147"/>
      <c r="G13" s="377"/>
      <c r="H13" s="147"/>
      <c r="I13" s="211" t="s">
        <v>5500</v>
      </c>
      <c r="J13" s="224">
        <v>43496</v>
      </c>
      <c r="K13" s="224"/>
      <c r="L13" s="147" t="s">
        <v>5501</v>
      </c>
      <c r="M13" s="224"/>
      <c r="N13" s="224"/>
      <c r="O13" s="147">
        <v>1500</v>
      </c>
      <c r="P13" s="224"/>
    </row>
    <row r="14" spans="1:16" s="211" customFormat="1" ht="12.75" customHeight="1">
      <c r="A14" s="147" t="s">
        <v>1365</v>
      </c>
      <c r="B14" s="147"/>
      <c r="C14" s="147"/>
      <c r="D14" s="147"/>
      <c r="E14" s="147"/>
      <c r="F14" s="147"/>
      <c r="G14" s="147"/>
      <c r="H14" s="147"/>
    </row>
    <row r="15" spans="1:16" s="213" customFormat="1" ht="12.75" customHeight="1">
      <c r="A15" s="147"/>
      <c r="B15" s="147"/>
      <c r="C15" s="147"/>
      <c r="D15" s="147"/>
      <c r="E15" s="147"/>
      <c r="F15" s="147"/>
      <c r="G15" s="147"/>
      <c r="H15" s="147"/>
    </row>
    <row r="16" spans="1:16" s="213" customFormat="1">
      <c r="A16" s="91" t="s">
        <v>1122</v>
      </c>
      <c r="B16" s="91" t="s">
        <v>1098</v>
      </c>
      <c r="C16" s="91"/>
      <c r="D16" s="92" t="s">
        <v>14</v>
      </c>
      <c r="E16" s="92"/>
      <c r="F16" s="90"/>
      <c r="G16" s="91"/>
      <c r="H16" s="94" t="s">
        <v>13</v>
      </c>
      <c r="I16" s="214"/>
      <c r="L16" s="147" t="s">
        <v>4889</v>
      </c>
      <c r="M16" s="224"/>
      <c r="N16" s="224"/>
      <c r="O16" s="147">
        <v>1500</v>
      </c>
    </row>
    <row r="17" spans="1:16" s="213" customFormat="1" ht="12.75" customHeight="1">
      <c r="A17" s="215"/>
      <c r="B17" s="216"/>
      <c r="C17" s="216"/>
      <c r="D17" s="422"/>
      <c r="E17" s="422"/>
      <c r="F17" s="216"/>
      <c r="G17" s="218"/>
      <c r="H17" s="219"/>
      <c r="I17" s="214"/>
      <c r="L17" s="147" t="s">
        <v>4890</v>
      </c>
      <c r="M17" s="224"/>
      <c r="N17" s="224"/>
      <c r="O17" s="147">
        <v>1500</v>
      </c>
    </row>
    <row r="18" spans="1:16" s="211" customFormat="1" ht="12.75" customHeight="1">
      <c r="A18" s="220"/>
      <c r="B18" s="145"/>
      <c r="C18" s="145"/>
      <c r="D18" s="95" t="s">
        <v>5382</v>
      </c>
      <c r="E18" s="95"/>
      <c r="F18" s="224"/>
      <c r="G18" s="224"/>
      <c r="H18" s="147"/>
      <c r="I18" s="221"/>
    </row>
    <row r="19" spans="1:16" s="211" customFormat="1" ht="12.75" customHeight="1">
      <c r="A19" s="222"/>
      <c r="B19" s="303"/>
      <c r="C19" s="303"/>
      <c r="D19" s="147"/>
      <c r="E19" s="147"/>
      <c r="F19" s="224"/>
      <c r="G19" s="224"/>
      <c r="H19" s="147"/>
      <c r="I19" s="221"/>
      <c r="L19" s="147" t="s">
        <v>4998</v>
      </c>
      <c r="M19" s="224"/>
      <c r="N19" s="224"/>
      <c r="O19" s="147">
        <v>1500</v>
      </c>
    </row>
    <row r="20" spans="1:16" s="211" customFormat="1" ht="12.75" customHeight="1">
      <c r="A20" s="220"/>
      <c r="B20" s="224"/>
      <c r="C20" s="224"/>
      <c r="D20" s="147" t="s">
        <v>5828</v>
      </c>
      <c r="E20" s="147"/>
      <c r="F20" s="224"/>
      <c r="G20" s="224"/>
      <c r="H20" s="147">
        <f>1500/30*16</f>
        <v>800</v>
      </c>
      <c r="I20" s="221"/>
      <c r="L20" s="147"/>
      <c r="M20" s="224"/>
      <c r="N20" s="224"/>
      <c r="O20" s="147"/>
    </row>
    <row r="21" spans="1:16" s="224" customFormat="1" ht="12.75" customHeight="1">
      <c r="A21" s="220"/>
      <c r="D21" s="147" t="s">
        <v>5829</v>
      </c>
      <c r="E21" s="147"/>
      <c r="H21" s="147"/>
      <c r="L21" s="147" t="s">
        <v>4999</v>
      </c>
      <c r="O21" s="147">
        <v>1500</v>
      </c>
    </row>
    <row r="22" spans="1:16" s="224" customFormat="1" ht="12.75" customHeight="1">
      <c r="A22" s="211"/>
      <c r="B22" s="303"/>
      <c r="C22" s="303"/>
      <c r="D22" s="147"/>
      <c r="E22" s="147"/>
      <c r="F22" s="211"/>
      <c r="H22" s="147"/>
    </row>
    <row r="23" spans="1:16" s="211" customFormat="1" ht="12.75" customHeight="1">
      <c r="D23" s="147"/>
      <c r="E23" s="147"/>
      <c r="H23" s="147"/>
      <c r="I23" s="221"/>
      <c r="L23" s="147" t="s">
        <v>5221</v>
      </c>
      <c r="M23" s="224"/>
      <c r="N23" s="224"/>
      <c r="O23" s="147">
        <v>1500</v>
      </c>
      <c r="P23" s="221"/>
    </row>
    <row r="24" spans="1:16" s="211" customFormat="1" ht="12.75" customHeight="1">
      <c r="A24" s="222"/>
      <c r="D24" s="147"/>
      <c r="E24" s="147"/>
      <c r="H24" s="147"/>
      <c r="I24" s="221"/>
      <c r="L24" s="147" t="s">
        <v>5222</v>
      </c>
      <c r="M24" s="224"/>
      <c r="N24" s="224"/>
      <c r="O24" s="147">
        <v>1500</v>
      </c>
      <c r="P24" s="221"/>
    </row>
    <row r="25" spans="1:16" s="224" customFormat="1" ht="12.75" customHeight="1">
      <c r="A25" s="222"/>
      <c r="D25" s="147"/>
      <c r="E25" s="147"/>
      <c r="H25" s="147"/>
    </row>
    <row r="26" spans="1:16" s="224" customFormat="1" ht="12.75" customHeight="1">
      <c r="A26" s="222"/>
      <c r="B26" s="223"/>
      <c r="C26" s="223"/>
      <c r="D26" s="147"/>
      <c r="E26" s="147"/>
      <c r="H26" s="147"/>
      <c r="K26" s="147" t="s">
        <v>5081</v>
      </c>
      <c r="N26" s="147">
        <v>1500</v>
      </c>
    </row>
    <row r="27" spans="1:16" s="224" customFormat="1" ht="12.75" customHeight="1">
      <c r="A27" s="220"/>
      <c r="B27" s="223"/>
      <c r="C27" s="223"/>
      <c r="D27" s="147"/>
      <c r="E27" s="147"/>
      <c r="H27" s="147"/>
      <c r="K27" s="147" t="s">
        <v>5082</v>
      </c>
      <c r="N27" s="147">
        <v>1500</v>
      </c>
    </row>
    <row r="28" spans="1:16" s="224" customFormat="1" ht="12.75" customHeight="1">
      <c r="A28" s="222"/>
      <c r="B28" s="223"/>
      <c r="C28" s="223"/>
      <c r="D28" s="147"/>
      <c r="E28" s="147"/>
      <c r="H28" s="147"/>
    </row>
    <row r="29" spans="1:16" s="224" customFormat="1" ht="12.75" customHeight="1">
      <c r="A29" s="222"/>
      <c r="B29" s="223"/>
      <c r="C29" s="223"/>
      <c r="D29" s="147"/>
      <c r="E29" s="147"/>
      <c r="H29" s="147"/>
    </row>
    <row r="30" spans="1:16" s="224" customFormat="1" ht="12.75" customHeight="1">
      <c r="A30" s="222"/>
      <c r="B30" s="223"/>
      <c r="C30" s="223"/>
      <c r="D30" s="147"/>
      <c r="E30" s="147"/>
      <c r="H30" s="147"/>
    </row>
    <row r="31" spans="1:16" s="227" customFormat="1" ht="12.75" customHeight="1">
      <c r="A31" s="222"/>
      <c r="B31" s="223"/>
      <c r="C31" s="223"/>
      <c r="D31" s="147"/>
      <c r="E31" s="147"/>
      <c r="F31" s="224"/>
      <c r="G31" s="224"/>
      <c r="H31" s="147"/>
    </row>
    <row r="32" spans="1:16" ht="12.75" customHeight="1">
      <c r="A32" s="222"/>
      <c r="B32" s="145"/>
      <c r="C32" s="145"/>
      <c r="D32" s="147"/>
      <c r="E32" s="147"/>
      <c r="F32" s="131"/>
      <c r="G32" s="131"/>
      <c r="H32" s="131"/>
    </row>
    <row r="33" spans="1:9" s="211" customFormat="1" ht="12.75" customHeight="1">
      <c r="A33" s="228"/>
      <c r="B33" s="228"/>
      <c r="C33" s="228"/>
      <c r="D33" s="147"/>
      <c r="E33" s="147"/>
      <c r="F33" s="131"/>
      <c r="G33" s="131"/>
      <c r="H33" s="131"/>
      <c r="I33" s="221"/>
    </row>
    <row r="34" spans="1:9" s="211" customFormat="1" ht="12.75" customHeight="1">
      <c r="A34" s="222"/>
      <c r="B34" s="145"/>
      <c r="C34" s="145"/>
      <c r="D34" s="147"/>
      <c r="E34" s="147"/>
      <c r="F34" s="147"/>
      <c r="G34" s="147"/>
      <c r="H34" s="147"/>
      <c r="I34" s="221"/>
    </row>
    <row r="35" spans="1:9" s="211" customFormat="1" ht="12.75" customHeight="1">
      <c r="A35" s="225"/>
      <c r="B35" s="145"/>
      <c r="C35" s="145"/>
      <c r="D35" s="147"/>
      <c r="E35" s="147"/>
      <c r="F35" s="147"/>
      <c r="G35" s="147"/>
      <c r="H35" s="147"/>
      <c r="I35" s="221"/>
    </row>
    <row r="36" spans="1:9" s="211" customFormat="1" ht="15.75" customHeight="1" thickBot="1">
      <c r="A36" s="229"/>
      <c r="B36" s="224"/>
      <c r="C36" s="224"/>
      <c r="D36" s="224"/>
      <c r="E36" s="224"/>
      <c r="F36" s="224"/>
      <c r="G36" s="224"/>
      <c r="H36" s="230">
        <f>SUM(H18:H35)</f>
        <v>800</v>
      </c>
      <c r="I36" s="221"/>
    </row>
    <row r="37" spans="1:9" s="211" customFormat="1" ht="12.75" customHeight="1" thickTop="1">
      <c r="A37" s="229"/>
      <c r="B37" s="224"/>
      <c r="C37" s="224"/>
      <c r="D37" s="224"/>
      <c r="E37" s="224"/>
      <c r="F37" s="224"/>
      <c r="G37" s="224"/>
      <c r="H37" s="224"/>
      <c r="I37" s="221"/>
    </row>
    <row r="38" spans="1:9" ht="20.100000000000001" customHeight="1">
      <c r="A38" s="138" t="s">
        <v>1133</v>
      </c>
      <c r="B38" s="204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Eight Hundred and NO/100 -----------</v>
      </c>
      <c r="C38" s="204"/>
      <c r="D38" s="231"/>
      <c r="E38" s="231"/>
      <c r="F38" s="231"/>
      <c r="G38" s="231"/>
      <c r="H38" s="231"/>
    </row>
    <row r="39" spans="1:9" ht="12.75" customHeight="1">
      <c r="A39" s="232"/>
    </row>
    <row r="40" spans="1:9" ht="27" customHeight="1">
      <c r="A40" s="131" t="s">
        <v>10</v>
      </c>
      <c r="B40" s="131"/>
      <c r="C40" s="131"/>
      <c r="D40" s="131"/>
      <c r="E40" s="131"/>
      <c r="F40" s="283" t="s">
        <v>2894</v>
      </c>
      <c r="G40" s="284"/>
      <c r="H40" s="285"/>
    </row>
    <row r="41" spans="1:9" ht="12.75" customHeight="1">
      <c r="A41" s="131"/>
      <c r="B41" s="131"/>
      <c r="C41" s="131"/>
      <c r="D41" s="131"/>
      <c r="E41" s="131"/>
      <c r="F41" s="131"/>
      <c r="G41" s="131"/>
      <c r="H41" s="131"/>
    </row>
    <row r="42" spans="1:9" ht="12.75" customHeight="1">
      <c r="A42" s="131"/>
      <c r="B42" s="131"/>
      <c r="C42" s="131"/>
      <c r="D42" s="131"/>
      <c r="E42" s="131"/>
      <c r="F42" s="131"/>
      <c r="G42" s="131"/>
      <c r="H42" s="131"/>
    </row>
    <row r="43" spans="1:9">
      <c r="A43" s="301"/>
      <c r="B43" s="131"/>
      <c r="C43" s="131"/>
      <c r="D43" s="131"/>
      <c r="E43" s="131"/>
      <c r="F43" s="291"/>
      <c r="G43" s="291"/>
      <c r="H43" s="291"/>
    </row>
    <row r="44" spans="1:9">
      <c r="A44" s="248"/>
      <c r="B44" s="142"/>
      <c r="C44" s="445"/>
      <c r="D44" s="131"/>
      <c r="E44" s="131"/>
      <c r="F44" s="286"/>
      <c r="G44" s="287"/>
      <c r="H44" s="287"/>
    </row>
    <row r="45" spans="1:9" ht="12.75" customHeight="1">
      <c r="A45" s="301"/>
      <c r="B45" s="301"/>
      <c r="C45" s="301"/>
      <c r="D45" s="131"/>
      <c r="E45" s="131"/>
      <c r="F45" s="131"/>
      <c r="G45" s="131"/>
      <c r="H45" s="144"/>
    </row>
    <row r="46" spans="1:9" ht="12.75" customHeight="1">
      <c r="A46" s="143" t="s">
        <v>8</v>
      </c>
      <c r="B46" s="131"/>
      <c r="C46" s="131"/>
      <c r="D46" s="143" t="s">
        <v>8</v>
      </c>
      <c r="E46" s="131"/>
      <c r="F46" s="143" t="s">
        <v>7</v>
      </c>
      <c r="G46" s="131"/>
      <c r="H46" s="131"/>
    </row>
    <row r="47" spans="1:9" ht="12.75" customHeight="1">
      <c r="A47" s="301"/>
      <c r="B47" s="131"/>
      <c r="C47" s="131"/>
      <c r="D47" s="301"/>
      <c r="E47" s="131"/>
      <c r="G47" s="131"/>
      <c r="H47" s="131"/>
    </row>
    <row r="48" spans="1:9" ht="12.75" customHeight="1">
      <c r="A48" s="143"/>
      <c r="B48" s="131"/>
      <c r="C48" s="131"/>
      <c r="D48" s="143"/>
      <c r="E48" s="131"/>
      <c r="F48" s="131"/>
      <c r="G48" s="131"/>
      <c r="H48" s="131"/>
    </row>
    <row r="49" spans="1:8" ht="12.75" customHeight="1">
      <c r="A49" s="143"/>
      <c r="B49" s="131"/>
      <c r="C49" s="131"/>
      <c r="D49" s="143"/>
      <c r="E49" s="131"/>
      <c r="F49" s="131"/>
      <c r="G49" s="131"/>
      <c r="H49" s="131"/>
    </row>
    <row r="50" spans="1:8" s="211" customFormat="1" ht="12.75" customHeight="1">
      <c r="A50" s="143"/>
      <c r="B50" s="131"/>
      <c r="C50" s="131"/>
      <c r="D50" s="143"/>
      <c r="E50" s="131"/>
      <c r="F50" s="131"/>
      <c r="G50" s="147"/>
      <c r="H50" s="147"/>
    </row>
    <row r="51" spans="1:8" ht="12.75" customHeight="1">
      <c r="A51" s="248"/>
      <c r="B51" s="142"/>
      <c r="C51" s="445"/>
      <c r="D51" s="248"/>
      <c r="E51" s="131"/>
      <c r="F51" s="142"/>
      <c r="G51" s="142"/>
      <c r="H51" s="142"/>
    </row>
    <row r="52" spans="1:8">
      <c r="A52" s="143" t="s">
        <v>2948</v>
      </c>
      <c r="B52" s="146"/>
      <c r="C52" s="146"/>
      <c r="D52" s="143" t="s">
        <v>103</v>
      </c>
      <c r="E52" s="147"/>
      <c r="F52" s="147" t="s">
        <v>3</v>
      </c>
      <c r="G52" s="131"/>
      <c r="H52" s="131"/>
    </row>
    <row r="53" spans="1:8">
      <c r="A53" s="143"/>
      <c r="B53" s="131"/>
      <c r="C53" s="131"/>
      <c r="D53" s="131"/>
      <c r="E53" s="131"/>
      <c r="F53" s="131" t="s">
        <v>2</v>
      </c>
      <c r="G53" s="131"/>
      <c r="H53" s="131"/>
    </row>
    <row r="54" spans="1:8" ht="12.75" customHeight="1">
      <c r="A54" s="131"/>
      <c r="B54" s="131"/>
      <c r="C54" s="131"/>
      <c r="D54" s="131"/>
      <c r="E54" s="131"/>
      <c r="F54" s="131"/>
      <c r="G54" s="131"/>
      <c r="H54" s="131"/>
    </row>
    <row r="55" spans="1:8">
      <c r="A55" s="131"/>
      <c r="B55" s="131"/>
      <c r="C55" s="131"/>
      <c r="D55" s="131"/>
      <c r="E55" s="131"/>
      <c r="F55" s="110" t="s">
        <v>1</v>
      </c>
      <c r="G55" s="131"/>
      <c r="H55" s="131"/>
    </row>
    <row r="56" spans="1:8">
      <c r="A56" s="131"/>
      <c r="B56" s="131"/>
      <c r="C56" s="131"/>
      <c r="D56" s="131"/>
      <c r="E56" s="131"/>
      <c r="F56" s="110" t="s">
        <v>0</v>
      </c>
      <c r="G56" s="131"/>
      <c r="H56" s="131"/>
    </row>
    <row r="57" spans="1:8" ht="12.75" customHeight="1">
      <c r="A57" s="131"/>
      <c r="B57" s="131"/>
      <c r="C57" s="131"/>
      <c r="D57" s="131"/>
      <c r="E57" s="131"/>
      <c r="F57" s="131"/>
      <c r="G57" s="131"/>
      <c r="H57" s="131"/>
    </row>
    <row r="58" spans="1:8" ht="12.75" customHeight="1">
      <c r="A58" s="131"/>
      <c r="B58" s="131"/>
      <c r="C58" s="131"/>
      <c r="D58" s="131"/>
      <c r="E58" s="131"/>
      <c r="F58" s="131"/>
      <c r="G58" s="131"/>
      <c r="H58" s="131"/>
    </row>
    <row r="59" spans="1:8">
      <c r="A59" s="131"/>
      <c r="B59" s="131"/>
      <c r="C59" s="131"/>
      <c r="D59" s="131"/>
      <c r="E59" s="131"/>
      <c r="F59" s="131"/>
      <c r="G59" s="131"/>
      <c r="H59" s="131"/>
    </row>
    <row r="60" spans="1:8">
      <c r="A60" s="131"/>
      <c r="B60" s="131"/>
      <c r="C60" s="131"/>
      <c r="D60" s="131"/>
      <c r="E60" s="131"/>
      <c r="F60" s="131"/>
      <c r="G60" s="131"/>
      <c r="H60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2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88">
    <pageSetUpPr fitToPage="1"/>
  </sheetPr>
  <dimension ref="A1:H53"/>
  <sheetViews>
    <sheetView topLeftCell="A4" workbookViewId="0">
      <selection activeCell="G9" sqref="G9:G13"/>
    </sheetView>
  </sheetViews>
  <sheetFormatPr defaultRowHeight="12.75"/>
  <cols>
    <col min="1" max="1" width="16" style="111" customWidth="1"/>
    <col min="2" max="2" width="12.85546875" style="111" customWidth="1"/>
    <col min="3" max="3" width="1.42578125" style="111" customWidth="1"/>
    <col min="4" max="4" width="21" style="111" customWidth="1"/>
    <col min="5" max="5" width="1.42578125" style="111" customWidth="1"/>
    <col min="6" max="6" width="16.42578125" style="111" customWidth="1"/>
    <col min="7" max="7" width="9.7109375" style="111" customWidth="1"/>
    <col min="8" max="8" width="13.28515625" style="11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1110</v>
      </c>
      <c r="G9" s="111" t="s">
        <v>4479</v>
      </c>
    </row>
    <row r="10" spans="1:8">
      <c r="A10" s="111" t="s">
        <v>4462</v>
      </c>
      <c r="F10" s="112" t="s">
        <v>1685</v>
      </c>
      <c r="G10" s="111" t="s">
        <v>4478</v>
      </c>
    </row>
    <row r="11" spans="1:8">
      <c r="A11" s="111" t="s">
        <v>4463</v>
      </c>
      <c r="F11" s="112" t="s">
        <v>1163</v>
      </c>
      <c r="G11" s="111" t="s">
        <v>1094</v>
      </c>
    </row>
    <row r="12" spans="1:8">
      <c r="A12" s="120" t="s">
        <v>4464</v>
      </c>
      <c r="F12" s="112" t="s">
        <v>1188</v>
      </c>
      <c r="G12" s="120" t="s">
        <v>4480</v>
      </c>
    </row>
    <row r="13" spans="1:8">
      <c r="A13" s="111" t="s">
        <v>4465</v>
      </c>
    </row>
    <row r="14" spans="1:8">
      <c r="A14" s="111" t="s">
        <v>4466</v>
      </c>
    </row>
    <row r="16" spans="1:8" s="15" customFormat="1" ht="20.100000000000001" customHeight="1">
      <c r="A16" s="129" t="s">
        <v>1097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73"/>
    </row>
    <row r="18" spans="1:8">
      <c r="A18" s="116"/>
      <c r="B18" s="116"/>
      <c r="C18" s="116"/>
      <c r="D18" s="2" t="s">
        <v>4467</v>
      </c>
      <c r="E18" s="2"/>
    </row>
    <row r="20" spans="1:8">
      <c r="A20" s="116" t="s">
        <v>4481</v>
      </c>
      <c r="B20" s="116" t="s">
        <v>4482</v>
      </c>
      <c r="C20" s="116"/>
      <c r="D20" s="111" t="s">
        <v>4483</v>
      </c>
      <c r="H20" s="111">
        <v>920</v>
      </c>
    </row>
    <row r="21" spans="1:8">
      <c r="A21" s="116"/>
      <c r="B21" s="116"/>
      <c r="C21" s="116"/>
      <c r="D21" s="111" t="s">
        <v>1814</v>
      </c>
      <c r="H21" s="111">
        <f>H20*6%</f>
        <v>55.199999999999996</v>
      </c>
    </row>
    <row r="22" spans="1:8">
      <c r="A22" s="116"/>
      <c r="B22" s="116"/>
      <c r="C22" s="116"/>
    </row>
    <row r="23" spans="1:8">
      <c r="A23" s="116" t="s">
        <v>4481</v>
      </c>
      <c r="B23" s="116" t="s">
        <v>4484</v>
      </c>
      <c r="C23" s="116"/>
      <c r="D23" s="111" t="s">
        <v>4485</v>
      </c>
      <c r="H23" s="111">
        <v>760</v>
      </c>
    </row>
    <row r="24" spans="1:8">
      <c r="A24" s="116"/>
      <c r="B24" s="116"/>
      <c r="C24" s="116"/>
      <c r="D24" s="111" t="s">
        <v>1814</v>
      </c>
      <c r="H24" s="111">
        <f>H23*6%</f>
        <v>45.6</v>
      </c>
    </row>
    <row r="25" spans="1:8">
      <c r="B25" s="121"/>
      <c r="C25" s="121"/>
    </row>
    <row r="30" spans="1:8">
      <c r="A30" s="1"/>
      <c r="B30" s="1"/>
      <c r="C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73"/>
      <c r="H32" s="1"/>
    </row>
    <row r="33" spans="1:8" ht="13.5" thickBot="1">
      <c r="A33" s="173"/>
      <c r="H33" s="117">
        <f>SUM(H18:H31)</f>
        <v>1780.8</v>
      </c>
    </row>
    <row r="34" spans="1:8" ht="13.5" thickTop="1">
      <c r="A34" s="173"/>
    </row>
    <row r="35" spans="1:8" ht="20.100000000000001" customHeight="1">
      <c r="A35" s="118" t="s">
        <v>1686</v>
      </c>
      <c r="B35" s="202" t="str">
        <f>IF(OR(H33&gt;1000000,H33&lt;=0),"",IF(H33&lt;1000,"",IF(MOD(H33,1000000)&gt;=100000,INDEX(numbers,TRUNC(MOD(H33,1000000)/100000,0)+1)&amp;" Hundred","")&amp;IF(MOD(H33,100000)&gt;=20000," "&amp;INDEX(tens,TRUNC(MOD(H33,100000)/10000,0)+1)&amp;IF(MOD(MOD(H33,100000),10000)&gt;=1000,"-"&amp;INDEX(numbers,TRUNC(MOD(MOD(H33,100000),10000)/1000,0)+1),""),IF(MOD(H33,100000)&gt;=1000," "&amp;INDEX(numbers,TRUNC(MOD(H33,100000)/1000,0)+1),""))&amp;" Thousand") &amp; IF(H33&lt;1,"Zero Dollars",IF(MOD(H33,1000)&gt;=100," "&amp;INDEX(numbers,TRUNC(MOD(H33,1000)/100,0)+1)&amp;" Hundred","")&amp;IF(MOD(H33,100)&gt;=20," "&amp;INDEX(tens,TRUNC(MOD(H33,100)/10,0)+1)&amp;IF(MOD(MOD(H33,100),10)&gt;=1,"-"&amp;INDEX(numbers,TRUNC(MOD(MOD(H33,100),10),0)+1),""),IF(MOD(H33,100)&gt;=1," "&amp;INDEX(numbers,TRUNC(MOD(H33,100),0)+1),""))&amp;"") &amp; " and " &amp; IF(MOD(H33,1)&lt;0.005,"NO",ROUND(MOD(H33,1)*100,0)) &amp; "/100 -----------")</f>
        <v xml:space="preserve"> One Thousand Seven Hundred Eighty and 80/100 -----------</v>
      </c>
      <c r="C35" s="202"/>
      <c r="D35" s="119"/>
      <c r="E35" s="119"/>
      <c r="F35" s="119"/>
      <c r="G35" s="119"/>
      <c r="H35" s="119"/>
    </row>
    <row r="36" spans="1:8">
      <c r="A36" s="120"/>
    </row>
    <row r="37" spans="1:8" ht="25.5">
      <c r="A37" s="111" t="s">
        <v>10</v>
      </c>
      <c r="F37" s="265" t="s">
        <v>2894</v>
      </c>
      <c r="G37" s="266"/>
      <c r="H37" s="267"/>
    </row>
    <row r="39" spans="1:8">
      <c r="F39" s="309"/>
      <c r="G39" s="309"/>
      <c r="H39" s="309"/>
    </row>
    <row r="40" spans="1:8">
      <c r="A40" s="111" t="s">
        <v>51</v>
      </c>
      <c r="E40" s="121"/>
      <c r="F40" s="310"/>
      <c r="G40" s="311"/>
      <c r="H40" s="311"/>
    </row>
    <row r="41" spans="1:8">
      <c r="A41" s="35"/>
      <c r="B41" s="122"/>
    </row>
    <row r="42" spans="1:8">
      <c r="A42" s="1"/>
    </row>
    <row r="44" spans="1:8">
      <c r="A44" s="111" t="s">
        <v>8</v>
      </c>
      <c r="F44" s="123" t="s">
        <v>7</v>
      </c>
      <c r="H44" s="124"/>
    </row>
    <row r="48" spans="1:8">
      <c r="A48" s="122"/>
      <c r="B48" s="122"/>
      <c r="F48" s="122"/>
      <c r="G48" s="122"/>
      <c r="H48" s="122"/>
    </row>
    <row r="49" spans="1:8" s="3" customFormat="1" ht="17.100000000000001" customHeight="1">
      <c r="A49" s="316" t="s">
        <v>3441</v>
      </c>
      <c r="B49" s="125"/>
      <c r="C49" s="125"/>
      <c r="D49" s="111"/>
      <c r="E49" s="126"/>
      <c r="F49" s="126" t="s">
        <v>3</v>
      </c>
      <c r="G49" s="126"/>
      <c r="H49" s="126"/>
    </row>
    <row r="50" spans="1:8">
      <c r="F50" s="111" t="s">
        <v>2</v>
      </c>
    </row>
    <row r="52" spans="1:8">
      <c r="F52" s="2" t="s">
        <v>1</v>
      </c>
    </row>
    <row r="53" spans="1:8">
      <c r="F53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66">
    <pageSetUpPr fitToPage="1"/>
  </sheetPr>
  <dimension ref="A1:Q57"/>
  <sheetViews>
    <sheetView topLeftCell="A4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.42578125" style="1" customWidth="1"/>
    <col min="4" max="4" width="23" style="1" customWidth="1"/>
    <col min="5" max="5" width="1.14062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 t="s">
        <v>4346</v>
      </c>
      <c r="B9" s="111"/>
      <c r="C9" s="111"/>
      <c r="D9" s="111"/>
      <c r="E9" s="111"/>
      <c r="F9" s="112" t="s">
        <v>1127</v>
      </c>
      <c r="G9" s="131" t="s">
        <v>4344</v>
      </c>
      <c r="H9" s="111"/>
    </row>
    <row r="10" spans="1:8">
      <c r="A10" s="111" t="s">
        <v>4347</v>
      </c>
      <c r="B10" s="111"/>
      <c r="C10" s="111"/>
      <c r="D10" s="111"/>
      <c r="E10" s="111"/>
      <c r="F10" s="112" t="s">
        <v>1162</v>
      </c>
      <c r="G10" s="143" t="s">
        <v>4343</v>
      </c>
      <c r="H10" s="111"/>
    </row>
    <row r="11" spans="1:8">
      <c r="A11" s="111" t="s">
        <v>4348</v>
      </c>
      <c r="B11" s="111"/>
      <c r="C11" s="111"/>
      <c r="D11" s="111"/>
      <c r="E11" s="111"/>
      <c r="F11" s="112" t="s">
        <v>1163</v>
      </c>
      <c r="G11" s="132" t="s">
        <v>1094</v>
      </c>
      <c r="H11" s="111"/>
    </row>
    <row r="12" spans="1:8">
      <c r="A12" s="111" t="s">
        <v>4349</v>
      </c>
      <c r="B12" s="111"/>
      <c r="C12" s="111"/>
      <c r="D12" s="111"/>
      <c r="E12" s="111"/>
      <c r="F12" s="112" t="s">
        <v>1135</v>
      </c>
      <c r="G12" s="140" t="s">
        <v>4345</v>
      </c>
      <c r="H12" s="111"/>
    </row>
    <row r="13" spans="1:8">
      <c r="A13" s="111" t="s">
        <v>4350</v>
      </c>
      <c r="B13" s="111"/>
      <c r="C13" s="111"/>
      <c r="D13" s="111"/>
      <c r="E13" s="111"/>
      <c r="F13" s="111"/>
      <c r="G13" s="111"/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17">
      <c r="A17" s="111"/>
      <c r="B17" s="111"/>
      <c r="C17" s="111"/>
      <c r="D17" s="111"/>
      <c r="E17" s="111"/>
      <c r="F17" s="111"/>
      <c r="G17" s="111"/>
      <c r="H17" s="111"/>
    </row>
    <row r="18" spans="1:17">
      <c r="A18" s="148"/>
      <c r="B18" s="111"/>
      <c r="C18" s="111"/>
      <c r="D18" s="2" t="s">
        <v>4317</v>
      </c>
      <c r="E18" s="2"/>
      <c r="F18" s="111"/>
      <c r="G18" s="111"/>
      <c r="H18" s="149"/>
      <c r="I18" s="111"/>
    </row>
    <row r="19" spans="1:17">
      <c r="A19" s="159"/>
      <c r="B19" s="111"/>
      <c r="C19" s="111"/>
      <c r="D19" s="2"/>
      <c r="E19" s="2"/>
      <c r="F19" s="111"/>
      <c r="G19" s="111"/>
      <c r="H19" s="149"/>
      <c r="I19" s="111"/>
    </row>
    <row r="20" spans="1:17">
      <c r="A20" s="161" t="s">
        <v>4351</v>
      </c>
      <c r="B20" s="116" t="s">
        <v>4352</v>
      </c>
      <c r="C20" s="116"/>
      <c r="D20" s="126" t="s">
        <v>4353</v>
      </c>
      <c r="E20" s="126"/>
      <c r="F20" s="123"/>
      <c r="G20" s="123"/>
      <c r="H20" s="321">
        <v>18000</v>
      </c>
      <c r="I20" s="111"/>
    </row>
    <row r="21" spans="1:17">
      <c r="A21" s="161"/>
      <c r="B21" s="121"/>
      <c r="C21" s="121"/>
      <c r="D21" s="123" t="s">
        <v>1814</v>
      </c>
      <c r="E21" s="123"/>
      <c r="F21" s="123"/>
      <c r="G21" s="123"/>
      <c r="H21" s="321">
        <f>H20*6%</f>
        <v>1080</v>
      </c>
      <c r="I21" s="111"/>
    </row>
    <row r="22" spans="1:17" ht="14.25">
      <c r="A22" s="115"/>
      <c r="B22" s="121"/>
      <c r="C22" s="121"/>
      <c r="I22" s="111"/>
      <c r="J22" s="330"/>
      <c r="K22" s="255"/>
      <c r="L22" s="331"/>
      <c r="M22" s="126"/>
      <c r="N22" s="126"/>
      <c r="O22" s="189"/>
      <c r="P22" s="189"/>
      <c r="Q22" s="126"/>
    </row>
    <row r="23" spans="1:17" ht="14.25">
      <c r="A23" s="121"/>
      <c r="B23" s="121"/>
      <c r="C23" s="121"/>
      <c r="D23" s="123" t="s">
        <v>4354</v>
      </c>
      <c r="E23" s="123"/>
      <c r="F23" s="123"/>
      <c r="G23" s="123"/>
      <c r="H23" s="321">
        <v>3000</v>
      </c>
      <c r="I23" s="111"/>
      <c r="J23" s="330"/>
      <c r="K23" s="332"/>
      <c r="L23" s="332"/>
      <c r="M23" s="126"/>
      <c r="N23" s="126"/>
      <c r="O23" s="189"/>
      <c r="P23" s="189"/>
      <c r="Q23" s="126"/>
    </row>
    <row r="24" spans="1:17" ht="14.25">
      <c r="A24" s="121"/>
      <c r="B24" s="121"/>
      <c r="C24" s="121"/>
      <c r="D24" s="123"/>
      <c r="E24" s="123"/>
      <c r="F24" s="123"/>
      <c r="G24" s="123"/>
      <c r="H24" s="321"/>
      <c r="I24" s="111"/>
      <c r="J24" s="330"/>
      <c r="K24" s="332"/>
      <c r="L24" s="332"/>
      <c r="M24" s="126"/>
      <c r="N24" s="126"/>
      <c r="O24" s="189"/>
      <c r="P24" s="189"/>
      <c r="Q24" s="126"/>
    </row>
    <row r="25" spans="1:17">
      <c r="A25" s="115"/>
      <c r="B25" s="121"/>
      <c r="C25" s="121"/>
      <c r="D25" s="123"/>
      <c r="E25" s="123"/>
      <c r="F25" s="123"/>
      <c r="G25" s="123"/>
      <c r="H25" s="321"/>
      <c r="I25" s="111"/>
    </row>
    <row r="26" spans="1:17">
      <c r="A26" s="115"/>
      <c r="B26" s="121"/>
      <c r="C26" s="121"/>
      <c r="D26" s="123"/>
      <c r="E26" s="123"/>
      <c r="F26" s="123"/>
      <c r="G26" s="123"/>
      <c r="H26" s="321"/>
      <c r="I26" s="111"/>
    </row>
    <row r="27" spans="1:17">
      <c r="A27" s="115"/>
      <c r="B27" s="121"/>
      <c r="C27" s="121"/>
      <c r="D27" s="345"/>
      <c r="E27" s="345"/>
      <c r="F27" s="123"/>
      <c r="G27" s="123"/>
      <c r="H27" s="321"/>
      <c r="I27" s="111"/>
    </row>
    <row r="28" spans="1:17">
      <c r="A28" s="115"/>
      <c r="B28" s="121"/>
      <c r="C28" s="121"/>
      <c r="D28" s="123"/>
      <c r="E28" s="123"/>
      <c r="F28" s="123"/>
      <c r="G28" s="123"/>
      <c r="H28" s="321"/>
      <c r="I28" s="111"/>
    </row>
    <row r="29" spans="1:17">
      <c r="A29" s="161"/>
      <c r="B29" s="121"/>
      <c r="C29" s="121"/>
      <c r="D29" s="123"/>
      <c r="E29" s="123"/>
      <c r="F29" s="123"/>
      <c r="G29" s="123"/>
      <c r="H29" s="321"/>
      <c r="I29" s="111"/>
    </row>
    <row r="30" spans="1:17">
      <c r="A30" s="115"/>
      <c r="B30" s="121"/>
      <c r="C30" s="121"/>
      <c r="D30" s="123"/>
      <c r="E30" s="123"/>
      <c r="F30" s="123"/>
      <c r="G30" s="123"/>
      <c r="H30" s="321"/>
      <c r="I30" s="111"/>
    </row>
    <row r="31" spans="1:17">
      <c r="A31" s="115"/>
      <c r="B31" s="121"/>
      <c r="C31" s="121"/>
      <c r="D31" s="123"/>
      <c r="E31" s="123"/>
      <c r="F31" s="123"/>
      <c r="G31" s="123"/>
      <c r="H31" s="321"/>
      <c r="I31" s="111"/>
    </row>
    <row r="32" spans="1:17">
      <c r="A32" s="121"/>
      <c r="B32" s="121"/>
      <c r="C32" s="121"/>
      <c r="D32" s="123"/>
      <c r="E32" s="123"/>
      <c r="F32" s="123"/>
      <c r="G32" s="123"/>
      <c r="H32" s="321"/>
      <c r="I32" s="111"/>
    </row>
    <row r="33" spans="1:9">
      <c r="A33" s="115"/>
      <c r="B33" s="121"/>
      <c r="C33" s="121"/>
      <c r="D33" s="123"/>
      <c r="E33" s="123"/>
      <c r="F33" s="123"/>
      <c r="G33" s="123"/>
      <c r="H33" s="321"/>
      <c r="I33" s="111"/>
    </row>
    <row r="34" spans="1:9">
      <c r="A34" s="115"/>
      <c r="B34" s="121"/>
      <c r="C34" s="121"/>
      <c r="D34" s="123"/>
      <c r="E34" s="123"/>
      <c r="F34" s="123"/>
      <c r="G34" s="123"/>
      <c r="H34" s="123"/>
      <c r="I34" s="111"/>
    </row>
    <row r="35" spans="1:9">
      <c r="D35" s="2"/>
      <c r="E35" s="2"/>
      <c r="F35" s="111"/>
      <c r="G35" s="111"/>
      <c r="H35" s="111"/>
      <c r="I35" s="111"/>
    </row>
    <row r="36" spans="1:9" ht="13.5" thickBot="1">
      <c r="A36" s="159"/>
      <c r="B36" s="111"/>
      <c r="C36" s="111"/>
      <c r="D36" s="111"/>
      <c r="E36" s="111"/>
      <c r="F36" s="111"/>
      <c r="G36" s="111"/>
      <c r="H36" s="127">
        <f>SUM(H19:H35)</f>
        <v>22080</v>
      </c>
      <c r="I36" s="111"/>
    </row>
    <row r="37" spans="1:9" ht="13.5" thickTop="1">
      <c r="A37" s="126"/>
      <c r="B37" s="111"/>
      <c r="C37" s="111"/>
      <c r="D37" s="111"/>
      <c r="E37" s="111"/>
      <c r="F37" s="111"/>
      <c r="G37" s="111"/>
      <c r="H37" s="111"/>
      <c r="I37" s="111"/>
    </row>
    <row r="38" spans="1:9" ht="20.100000000000001" customHeight="1">
      <c r="A38" s="118" t="s">
        <v>1133</v>
      </c>
      <c r="B38" s="202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Twenty-Two Thousand Eighty and NO/100 -----------</v>
      </c>
      <c r="C38" s="202"/>
      <c r="D38" s="119"/>
      <c r="E38" s="119"/>
      <c r="F38" s="119"/>
      <c r="G38" s="119"/>
      <c r="H38" s="119"/>
      <c r="I38" s="111"/>
    </row>
    <row r="39" spans="1:9">
      <c r="A39" s="120" t="s">
        <v>11</v>
      </c>
      <c r="B39" s="111"/>
      <c r="C39" s="111"/>
      <c r="D39" s="111"/>
      <c r="E39" s="111"/>
      <c r="F39" s="111"/>
      <c r="G39" s="111"/>
      <c r="H39" s="111"/>
    </row>
    <row r="40" spans="1:9" ht="25.5">
      <c r="A40" s="126" t="s">
        <v>10</v>
      </c>
      <c r="B40" s="111"/>
      <c r="C40" s="111"/>
      <c r="D40" s="111"/>
      <c r="E40" s="111"/>
      <c r="F40" s="265" t="s">
        <v>2894</v>
      </c>
      <c r="G40" s="266"/>
      <c r="H40" s="267"/>
    </row>
    <row r="41" spans="1:9">
      <c r="A41" s="111"/>
      <c r="B41" s="111"/>
      <c r="C41" s="111"/>
      <c r="D41" s="111"/>
      <c r="E41" s="111"/>
      <c r="F41" s="111"/>
      <c r="G41" s="111"/>
      <c r="H41" s="111"/>
    </row>
    <row r="42" spans="1:9">
      <c r="A42" s="151"/>
      <c r="B42" s="111"/>
      <c r="C42" s="111"/>
      <c r="D42" s="111"/>
      <c r="E42" s="111"/>
      <c r="F42" s="111"/>
      <c r="G42" s="111"/>
      <c r="H42" s="111"/>
    </row>
    <row r="43" spans="1:9">
      <c r="A43" s="111"/>
      <c r="B43" s="111"/>
      <c r="C43" s="111"/>
      <c r="D43" s="121"/>
      <c r="E43" s="121"/>
      <c r="F43" s="111"/>
      <c r="G43" s="111"/>
      <c r="H43" s="111"/>
    </row>
    <row r="44" spans="1:9">
      <c r="A44" s="122"/>
      <c r="B44" s="122"/>
      <c r="C44" s="111"/>
      <c r="D44" s="111"/>
      <c r="E44" s="111"/>
      <c r="F44" s="111"/>
      <c r="G44" s="111"/>
      <c r="H44" s="111"/>
    </row>
    <row r="45" spans="1:9">
      <c r="B45" s="111"/>
      <c r="C45" s="111"/>
      <c r="D45" s="111"/>
      <c r="E45" s="111"/>
      <c r="F45" s="111"/>
      <c r="G45" s="111"/>
      <c r="H45" s="111"/>
    </row>
    <row r="46" spans="1:9">
      <c r="A46" s="123" t="s">
        <v>8</v>
      </c>
      <c r="D46" s="123" t="s">
        <v>8</v>
      </c>
      <c r="E46" s="111"/>
      <c r="F46" s="123" t="s">
        <v>7</v>
      </c>
      <c r="G46" s="111"/>
      <c r="H46" s="124"/>
    </row>
    <row r="47" spans="1:9">
      <c r="A47" s="111"/>
      <c r="B47" s="111"/>
      <c r="C47" s="111"/>
      <c r="D47" s="111"/>
      <c r="E47" s="111"/>
      <c r="F47" s="111"/>
      <c r="G47" s="111"/>
      <c r="H47" s="111"/>
    </row>
    <row r="48" spans="1:9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11"/>
      <c r="B49" s="111"/>
      <c r="C49" s="111"/>
      <c r="D49" s="111"/>
      <c r="E49" s="111"/>
      <c r="F49" s="111"/>
      <c r="G49" s="111"/>
      <c r="H49" s="111"/>
    </row>
    <row r="50" spans="1:8">
      <c r="A50" s="122"/>
      <c r="B50" s="122"/>
      <c r="C50" s="111"/>
      <c r="D50" s="122"/>
      <c r="E50" s="111"/>
      <c r="F50" s="122"/>
      <c r="G50" s="122"/>
      <c r="H50" s="122"/>
    </row>
    <row r="51" spans="1:8" s="3" customFormat="1" ht="17.100000000000001" customHeight="1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</row>
    <row r="52" spans="1:8">
      <c r="A52" s="111"/>
      <c r="B52" s="111"/>
      <c r="C52" s="111"/>
      <c r="D52" s="111"/>
      <c r="E52" s="111"/>
      <c r="F52" s="111" t="s">
        <v>2</v>
      </c>
      <c r="G52" s="111"/>
      <c r="H52" s="111"/>
    </row>
    <row r="53" spans="1:8">
      <c r="A53" s="111"/>
      <c r="B53" s="111"/>
      <c r="C53" s="111"/>
      <c r="D53" s="111"/>
      <c r="E53" s="111"/>
      <c r="F53" s="111"/>
      <c r="G53" s="111"/>
      <c r="H53" s="111"/>
    </row>
    <row r="54" spans="1:8">
      <c r="A54" s="111"/>
      <c r="B54" s="111"/>
      <c r="C54" s="111"/>
      <c r="D54" s="111"/>
      <c r="E54" s="111"/>
      <c r="F54" s="2" t="s">
        <v>1</v>
      </c>
      <c r="G54" s="111"/>
      <c r="H54" s="111"/>
    </row>
    <row r="55" spans="1:8">
      <c r="A55" s="111"/>
      <c r="B55" s="111"/>
      <c r="C55" s="111"/>
      <c r="D55" s="111"/>
      <c r="E55" s="111"/>
      <c r="F55" s="2" t="s">
        <v>0</v>
      </c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  <row r="57" spans="1:8">
      <c r="A57" s="111"/>
      <c r="B57" s="111"/>
      <c r="C57" s="111"/>
      <c r="D57" s="111"/>
      <c r="E57" s="111"/>
      <c r="F57" s="111"/>
      <c r="G57" s="111"/>
      <c r="H57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70"/>
  <dimension ref="A1:H58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" style="111" customWidth="1"/>
    <col min="2" max="2" width="12.42578125" style="111" customWidth="1"/>
    <col min="3" max="3" width="1" style="111" customWidth="1"/>
    <col min="4" max="4" width="21" style="111" customWidth="1"/>
    <col min="5" max="5" width="1.7109375" style="111" customWidth="1"/>
    <col min="6" max="6" width="16.42578125" style="111" customWidth="1"/>
    <col min="7" max="7" width="9" style="111" customWidth="1"/>
    <col min="8" max="8" width="13.28515625" style="11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F8" s="22" t="s">
        <v>23</v>
      </c>
    </row>
    <row r="9" spans="1:8">
      <c r="F9" s="112" t="s">
        <v>1110</v>
      </c>
      <c r="G9" s="132" t="s">
        <v>4453</v>
      </c>
    </row>
    <row r="10" spans="1:8">
      <c r="A10" s="111" t="s">
        <v>4455</v>
      </c>
      <c r="F10" s="112" t="s">
        <v>1685</v>
      </c>
      <c r="G10" s="132" t="s">
        <v>4452</v>
      </c>
    </row>
    <row r="11" spans="1:8">
      <c r="A11" s="111" t="s">
        <v>3430</v>
      </c>
      <c r="F11" s="112" t="s">
        <v>1163</v>
      </c>
      <c r="G11" s="132" t="s">
        <v>1094</v>
      </c>
    </row>
    <row r="12" spans="1:8">
      <c r="A12" s="111" t="s">
        <v>1587</v>
      </c>
      <c r="F12" s="112" t="s">
        <v>1096</v>
      </c>
      <c r="G12" s="120" t="s">
        <v>4454</v>
      </c>
    </row>
    <row r="13" spans="1:8">
      <c r="A13" s="111" t="s">
        <v>1588</v>
      </c>
    </row>
    <row r="14" spans="1:8">
      <c r="A14" s="111" t="s">
        <v>4456</v>
      </c>
    </row>
    <row r="15" spans="1:8">
      <c r="A15" s="111" t="s">
        <v>4457</v>
      </c>
    </row>
    <row r="16" spans="1:8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54"/>
    </row>
    <row r="18" spans="1:8">
      <c r="D18" s="2" t="s">
        <v>4458</v>
      </c>
      <c r="E18" s="2"/>
    </row>
    <row r="19" spans="1:8">
      <c r="D19" s="2"/>
      <c r="E19" s="2"/>
    </row>
    <row r="20" spans="1:8">
      <c r="A20" s="156" t="s">
        <v>4430</v>
      </c>
      <c r="B20" s="116" t="s">
        <v>4459</v>
      </c>
      <c r="C20" s="116"/>
      <c r="D20" s="111" t="s">
        <v>4460</v>
      </c>
      <c r="H20" s="111">
        <v>16920</v>
      </c>
    </row>
    <row r="21" spans="1:8">
      <c r="A21" s="116"/>
      <c r="B21" s="116"/>
      <c r="C21" s="116"/>
      <c r="D21" s="111" t="s">
        <v>1814</v>
      </c>
      <c r="H21" s="111">
        <f>H20*6%</f>
        <v>1015.1999999999999</v>
      </c>
    </row>
    <row r="23" spans="1:8">
      <c r="A23" s="116"/>
      <c r="B23" s="116"/>
      <c r="C23" s="116"/>
    </row>
    <row r="24" spans="1:8">
      <c r="A24" s="116"/>
      <c r="B24" s="121"/>
      <c r="C24" s="121"/>
    </row>
    <row r="25" spans="1:8">
      <c r="A25" s="120"/>
    </row>
    <row r="26" spans="1:8">
      <c r="A26" s="120"/>
    </row>
    <row r="27" spans="1:8">
      <c r="A27" s="120"/>
    </row>
    <row r="28" spans="1:8">
      <c r="A28" s="120"/>
    </row>
    <row r="29" spans="1:8">
      <c r="A29" s="120"/>
    </row>
    <row r="30" spans="1:8">
      <c r="A30" s="120"/>
    </row>
    <row r="31" spans="1:8">
      <c r="A31" s="120"/>
    </row>
    <row r="32" spans="1:8">
      <c r="A32" s="116"/>
      <c r="B32" s="121"/>
    </row>
    <row r="33" spans="1:8">
      <c r="D33" s="2"/>
      <c r="E33" s="2"/>
    </row>
    <row r="34" spans="1:8">
      <c r="E34" s="2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16"/>
      <c r="B36" s="121"/>
      <c r="C36" s="1"/>
      <c r="E36" s="1"/>
      <c r="F36" s="1"/>
      <c r="G36" s="1"/>
    </row>
    <row r="37" spans="1:8">
      <c r="A37" s="154"/>
    </row>
    <row r="38" spans="1:8" ht="13.5" thickBot="1">
      <c r="A38" s="154"/>
      <c r="H38" s="127">
        <f>SUM(H20:H37)</f>
        <v>17935.2</v>
      </c>
    </row>
    <row r="39" spans="1:8" ht="13.5" thickTop="1">
      <c r="A39" s="154"/>
      <c r="H39" s="308"/>
    </row>
    <row r="40" spans="1:8" ht="20.100000000000001" customHeight="1">
      <c r="A40" s="118" t="s">
        <v>3440</v>
      </c>
      <c r="B40" s="202" t="str">
        <f>IF(OR(H38&gt;1000000,H38&lt;=0),"",IF(H38&lt;1000,"",IF(MOD(H38,1000000)&gt;=100000,INDEX(numbers,TRUNC(MOD(H38,1000000)/100000,0)+1)&amp;" Hundred","")&amp;IF(MOD(H38,100000)&gt;=20000," "&amp;INDEX(tens,TRUNC(MOD(H38,100000)/10000,0)+1)&amp;IF(MOD(MOD(H38,100000),10000)&gt;=1000,"-"&amp;INDEX(numbers,TRUNC(MOD(MOD(H38,100000),10000)/1000,0)+1),""),IF(MOD(H38,100000)&gt;=1000," "&amp;INDEX(numbers,TRUNC(MOD(H38,100000)/1000,0)+1),""))&amp;" Thousand") &amp; IF(H38&lt;1,"Zero Dollars",IF(MOD(H38,1000)&gt;=100," "&amp;INDEX(numbers,TRUNC(MOD(H38,1000)/100,0)+1)&amp;" Hundred","")&amp;IF(MOD(H38,100)&gt;=20," "&amp;INDEX(tens,TRUNC(MOD(H38,100)/10,0)+1)&amp;IF(MOD(MOD(H38,100),10)&gt;=1,"-"&amp;INDEX(numbers,TRUNC(MOD(MOD(H38,100),10),0)+1),""),IF(MOD(H38,100)&gt;=1," "&amp;INDEX(numbers,TRUNC(MOD(H38,100),0)+1),""))&amp;"") &amp; " and " &amp; IF(MOD(H38,1)&lt;0.005,"NO",ROUND(MOD(H38,1)*100,0)) &amp; "/100 -----------")</f>
        <v xml:space="preserve"> Seventeen Thousand Nine Hundred Thirty-Five and 20/100 -----------</v>
      </c>
      <c r="C40" s="202"/>
      <c r="D40" s="119"/>
      <c r="E40" s="119"/>
      <c r="F40" s="119"/>
      <c r="G40" s="119"/>
      <c r="H40" s="119"/>
    </row>
    <row r="41" spans="1:8">
      <c r="A41" s="120"/>
    </row>
    <row r="42" spans="1:8" ht="25.5">
      <c r="A42" s="111" t="s">
        <v>10</v>
      </c>
      <c r="D42" s="123"/>
      <c r="F42" s="265" t="s">
        <v>2894</v>
      </c>
      <c r="G42" s="266"/>
      <c r="H42" s="267"/>
    </row>
    <row r="43" spans="1:8">
      <c r="D43" s="123"/>
    </row>
    <row r="44" spans="1:8">
      <c r="D44" s="123"/>
      <c r="F44" s="309"/>
      <c r="G44" s="309"/>
      <c r="H44" s="309"/>
    </row>
    <row r="45" spans="1:8">
      <c r="A45" s="123" t="s">
        <v>52</v>
      </c>
      <c r="D45" s="123"/>
      <c r="E45" s="121"/>
      <c r="F45" s="310"/>
      <c r="G45" s="311"/>
      <c r="H45" s="311"/>
    </row>
    <row r="46" spans="1:8">
      <c r="A46" s="35"/>
      <c r="B46" s="122"/>
      <c r="D46" s="123"/>
    </row>
    <row r="47" spans="1:8">
      <c r="A47" s="123"/>
      <c r="D47" s="151"/>
    </row>
    <row r="48" spans="1:8">
      <c r="A48" s="123"/>
      <c r="D48" s="151"/>
    </row>
    <row r="49" spans="1:8">
      <c r="A49" s="123" t="s">
        <v>8</v>
      </c>
      <c r="D49" s="123" t="s">
        <v>8</v>
      </c>
      <c r="F49" s="123" t="s">
        <v>7</v>
      </c>
      <c r="H49" s="124"/>
    </row>
    <row r="50" spans="1:8">
      <c r="A50" s="123"/>
      <c r="D50" s="123"/>
    </row>
    <row r="51" spans="1:8">
      <c r="A51" s="123"/>
      <c r="D51" s="123"/>
    </row>
    <row r="52" spans="1:8">
      <c r="A52" s="123"/>
      <c r="D52" s="123"/>
    </row>
    <row r="53" spans="1:8">
      <c r="A53" s="150"/>
      <c r="B53" s="122"/>
      <c r="D53" s="150"/>
      <c r="F53" s="122"/>
      <c r="G53" s="122"/>
      <c r="H53" s="122"/>
    </row>
    <row r="54" spans="1:8" s="3" customFormat="1" ht="17.100000000000001" customHeight="1">
      <c r="A54" s="151" t="s">
        <v>3441</v>
      </c>
      <c r="B54" s="125"/>
      <c r="C54" s="125"/>
      <c r="D54" s="151" t="s">
        <v>103</v>
      </c>
      <c r="E54" s="126"/>
      <c r="F54" s="126" t="s">
        <v>3</v>
      </c>
      <c r="G54" s="126"/>
      <c r="H54" s="126"/>
    </row>
    <row r="55" spans="1:8">
      <c r="F55" s="111" t="s">
        <v>2</v>
      </c>
    </row>
    <row r="57" spans="1:8">
      <c r="F57" s="2" t="s">
        <v>1</v>
      </c>
    </row>
    <row r="58" spans="1:8">
      <c r="F58" s="2" t="s">
        <v>0</v>
      </c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64E0E-9803-4BC9-A726-3E5159A7D1CE}">
  <sheetPr>
    <pageSetUpPr fitToPage="1"/>
  </sheetPr>
  <dimension ref="A1:O65"/>
  <sheetViews>
    <sheetView zoomScaleNormal="100" workbookViewId="0">
      <selection activeCell="G9" sqref="G9:G13"/>
    </sheetView>
  </sheetViews>
  <sheetFormatPr defaultRowHeight="12.75"/>
  <cols>
    <col min="1" max="1" width="15.42578125" style="1" customWidth="1"/>
    <col min="2" max="2" width="13.140625" style="1" customWidth="1"/>
    <col min="3" max="3" width="1.42578125" style="1" customWidth="1"/>
    <col min="4" max="4" width="21" style="1" customWidth="1"/>
    <col min="5" max="5" width="1.85546875" style="1" customWidth="1"/>
    <col min="6" max="6" width="16.42578125" style="1" customWidth="1"/>
    <col min="7" max="7" width="10.140625" style="1" customWidth="1"/>
    <col min="8" max="8" width="13.28515625" style="1" customWidth="1"/>
    <col min="9" max="14" width="9.140625" style="1"/>
    <col min="15" max="15" width="10.5703125" style="1" bestFit="1" customWidth="1"/>
    <col min="16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1684</v>
      </c>
      <c r="B4" s="530"/>
      <c r="C4" s="530"/>
      <c r="D4" s="530"/>
      <c r="E4" s="530"/>
      <c r="F4" s="530"/>
      <c r="G4" s="530"/>
      <c r="H4" s="530"/>
    </row>
    <row r="8" spans="1:15">
      <c r="A8" s="483" t="s">
        <v>24</v>
      </c>
      <c r="B8" s="483"/>
      <c r="C8" s="483"/>
      <c r="D8" s="483"/>
      <c r="E8" s="483"/>
      <c r="F8" s="22" t="s">
        <v>23</v>
      </c>
      <c r="G8" s="483"/>
      <c r="H8" s="483"/>
    </row>
    <row r="9" spans="1:15">
      <c r="A9" s="483"/>
      <c r="B9" s="483"/>
      <c r="C9" s="483"/>
      <c r="D9" s="483"/>
      <c r="E9" s="483"/>
      <c r="F9" s="484" t="s">
        <v>22</v>
      </c>
      <c r="G9" s="126" t="s">
        <v>6983</v>
      </c>
      <c r="H9" s="483"/>
      <c r="I9" s="1" t="s">
        <v>6983</v>
      </c>
      <c r="J9" s="1">
        <v>44112</v>
      </c>
      <c r="K9" s="1" t="s">
        <v>1270</v>
      </c>
      <c r="L9" s="1" t="s">
        <v>1270</v>
      </c>
    </row>
    <row r="10" spans="1:15">
      <c r="A10" s="483" t="s">
        <v>7028</v>
      </c>
      <c r="B10" s="483"/>
      <c r="C10" s="483"/>
      <c r="D10" s="483"/>
      <c r="E10" s="483"/>
      <c r="F10" s="484" t="s">
        <v>21</v>
      </c>
      <c r="G10" s="160" t="s">
        <v>7027</v>
      </c>
      <c r="H10" s="483"/>
      <c r="J10" s="21"/>
      <c r="K10" s="483" t="s">
        <v>5345</v>
      </c>
      <c r="L10" s="483"/>
      <c r="M10" s="483"/>
    </row>
    <row r="11" spans="1:15">
      <c r="A11" s="483" t="s">
        <v>7029</v>
      </c>
      <c r="B11" s="483"/>
      <c r="C11" s="483"/>
      <c r="D11" s="483"/>
      <c r="E11" s="483"/>
      <c r="F11" s="484" t="s">
        <v>19</v>
      </c>
      <c r="G11" s="160" t="s">
        <v>1094</v>
      </c>
      <c r="H11" s="483"/>
      <c r="J11" s="336"/>
      <c r="K11" s="483" t="s">
        <v>5346</v>
      </c>
    </row>
    <row r="12" spans="1:15">
      <c r="A12" s="483" t="s">
        <v>7030</v>
      </c>
      <c r="B12" s="483"/>
      <c r="C12" s="483"/>
      <c r="D12" s="483"/>
      <c r="E12" s="483"/>
      <c r="F12" s="484" t="s">
        <v>17</v>
      </c>
      <c r="G12" s="160" t="s">
        <v>1270</v>
      </c>
      <c r="H12" s="483"/>
      <c r="K12" s="483"/>
    </row>
    <row r="13" spans="1:15">
      <c r="A13" s="483" t="s">
        <v>7031</v>
      </c>
      <c r="B13" s="483"/>
      <c r="C13" s="483"/>
      <c r="D13" s="483"/>
      <c r="E13" s="483"/>
      <c r="F13" s="483"/>
      <c r="G13" s="488"/>
      <c r="H13" s="483"/>
      <c r="K13" s="483" t="s">
        <v>1697</v>
      </c>
    </row>
    <row r="14" spans="1:15">
      <c r="A14" s="483"/>
      <c r="B14" s="483"/>
      <c r="C14" s="483"/>
      <c r="D14" s="483"/>
      <c r="E14" s="483"/>
      <c r="F14" s="483"/>
      <c r="G14" s="488"/>
      <c r="H14" s="483"/>
    </row>
    <row r="15" spans="1:15">
      <c r="A15" s="483"/>
      <c r="B15" s="483"/>
      <c r="C15" s="483"/>
      <c r="D15" s="483"/>
      <c r="E15" s="483"/>
      <c r="F15" s="483"/>
      <c r="G15" s="483"/>
      <c r="H15" s="483"/>
      <c r="K15" s="483" t="s">
        <v>5347</v>
      </c>
      <c r="L15" s="483"/>
      <c r="M15" s="483"/>
      <c r="N15" s="483"/>
      <c r="O15" s="483">
        <f>4050*2.9926996</f>
        <v>12120.43338</v>
      </c>
    </row>
    <row r="16" spans="1:15" s="15" customFormat="1" ht="20.100000000000001" customHeight="1">
      <c r="A16" s="18" t="s">
        <v>1140</v>
      </c>
      <c r="B16" s="524" t="s">
        <v>1098</v>
      </c>
      <c r="C16" s="524"/>
      <c r="D16" s="19" t="s">
        <v>14</v>
      </c>
      <c r="E16" s="19"/>
      <c r="F16" s="18"/>
      <c r="G16" s="17"/>
      <c r="H16" s="16" t="s">
        <v>13</v>
      </c>
      <c r="K16" s="483"/>
      <c r="L16" s="1"/>
      <c r="M16" s="1"/>
      <c r="N16" s="1"/>
      <c r="O16" s="483"/>
    </row>
    <row r="17" spans="1:15">
      <c r="A17" s="483"/>
      <c r="B17" s="483"/>
      <c r="C17" s="483"/>
      <c r="D17" s="483"/>
      <c r="E17" s="483"/>
      <c r="F17" s="483"/>
      <c r="G17" s="483"/>
      <c r="H17" s="483"/>
      <c r="K17" s="483" t="s">
        <v>5348</v>
      </c>
      <c r="O17" s="483"/>
    </row>
    <row r="18" spans="1:15">
      <c r="A18" s="483"/>
      <c r="B18" s="483"/>
      <c r="C18" s="483"/>
      <c r="D18" s="482" t="s">
        <v>7032</v>
      </c>
      <c r="E18" s="482"/>
      <c r="F18" s="483"/>
      <c r="G18" s="483"/>
      <c r="H18" s="483"/>
    </row>
    <row r="19" spans="1:15">
      <c r="A19" s="483"/>
      <c r="B19" s="483"/>
      <c r="C19" s="483"/>
      <c r="D19" s="482" t="s">
        <v>7044</v>
      </c>
      <c r="E19" s="482"/>
      <c r="F19" s="483"/>
      <c r="G19" s="483"/>
      <c r="H19" s="483"/>
      <c r="K19" s="483" t="s">
        <v>5349</v>
      </c>
      <c r="L19" s="483"/>
      <c r="M19" s="483"/>
      <c r="N19" s="483"/>
      <c r="O19" s="483">
        <f>9300*2.9926996</f>
        <v>27832.10628</v>
      </c>
    </row>
    <row r="20" spans="1:15">
      <c r="A20" s="483"/>
      <c r="B20" s="483"/>
      <c r="C20" s="483"/>
      <c r="D20" s="482"/>
      <c r="E20" s="482"/>
      <c r="F20" s="483"/>
      <c r="G20" s="483"/>
      <c r="H20" s="483"/>
      <c r="K20" s="483"/>
      <c r="L20" s="483"/>
      <c r="M20" s="483"/>
      <c r="N20" s="483"/>
      <c r="O20" s="483"/>
    </row>
    <row r="21" spans="1:15">
      <c r="A21" s="485" t="s">
        <v>7033</v>
      </c>
      <c r="B21" s="241" t="s">
        <v>7034</v>
      </c>
      <c r="C21" s="485"/>
      <c r="D21" s="483" t="s">
        <v>7036</v>
      </c>
      <c r="E21" s="483"/>
      <c r="F21" s="483"/>
      <c r="G21" s="483"/>
      <c r="H21" s="483">
        <f>4.2077*1433.61</f>
        <v>6032.2007969999995</v>
      </c>
      <c r="K21" s="483"/>
      <c r="L21" s="483"/>
      <c r="M21" s="483"/>
      <c r="N21" s="483"/>
      <c r="O21" s="483"/>
    </row>
    <row r="22" spans="1:15">
      <c r="A22" s="483"/>
      <c r="B22" s="486"/>
      <c r="C22" s="486"/>
      <c r="D22" s="483" t="s">
        <v>7035</v>
      </c>
      <c r="H22" s="483">
        <f>4.2077*1783.4</f>
        <v>7504.0121800000006</v>
      </c>
      <c r="K22" s="483" t="s">
        <v>5350</v>
      </c>
      <c r="L22" s="483"/>
      <c r="O22" s="483"/>
    </row>
    <row r="23" spans="1:15">
      <c r="A23" s="485"/>
      <c r="B23" s="485"/>
      <c r="C23" s="485"/>
      <c r="D23" s="483"/>
      <c r="H23" s="483"/>
    </row>
    <row r="24" spans="1:15">
      <c r="A24" s="485" t="s">
        <v>6953</v>
      </c>
      <c r="B24" s="485" t="s">
        <v>7037</v>
      </c>
      <c r="C24" s="486"/>
      <c r="D24" s="483" t="s">
        <v>7038</v>
      </c>
      <c r="H24" s="483">
        <f>4.2077*2605.17</f>
        <v>10961.773809</v>
      </c>
      <c r="K24" s="483" t="s">
        <v>2831</v>
      </c>
      <c r="O24" s="483">
        <v>10</v>
      </c>
    </row>
    <row r="25" spans="1:15">
      <c r="A25" s="485"/>
      <c r="B25" s="485"/>
      <c r="C25" s="485"/>
      <c r="D25" s="483" t="s">
        <v>7039</v>
      </c>
      <c r="E25" s="483"/>
      <c r="F25" s="483"/>
      <c r="G25" s="483"/>
      <c r="H25" s="483">
        <f>4.2077*1280.4</f>
        <v>5387.5390800000005</v>
      </c>
      <c r="K25" s="483"/>
      <c r="L25" s="483"/>
    </row>
    <row r="26" spans="1:15">
      <c r="A26" s="483"/>
      <c r="B26" s="483"/>
      <c r="C26" s="483"/>
      <c r="D26" s="483"/>
      <c r="E26" s="483"/>
      <c r="F26" s="483"/>
      <c r="G26" s="483"/>
      <c r="H26" s="483"/>
      <c r="K26" s="483" t="s">
        <v>5351</v>
      </c>
      <c r="L26" s="483"/>
      <c r="M26" s="483"/>
      <c r="N26" s="483"/>
      <c r="O26" s="483">
        <f>9300*3.0413</f>
        <v>28284.09</v>
      </c>
    </row>
    <row r="27" spans="1:15">
      <c r="A27" s="485" t="s">
        <v>7040</v>
      </c>
      <c r="B27" s="485" t="s">
        <v>7041</v>
      </c>
      <c r="C27" s="486"/>
      <c r="D27" s="483" t="s">
        <v>7042</v>
      </c>
      <c r="E27" s="483"/>
      <c r="H27" s="483">
        <f>4.2077*963.5</f>
        <v>4054.11895</v>
      </c>
      <c r="K27" s="483" t="s">
        <v>5352</v>
      </c>
      <c r="O27" s="483"/>
    </row>
    <row r="28" spans="1:15">
      <c r="A28" s="483"/>
      <c r="B28" s="483"/>
      <c r="C28" s="483"/>
      <c r="D28" s="483" t="s">
        <v>7043</v>
      </c>
      <c r="H28" s="483">
        <f>4.2077*1802.2</f>
        <v>7583.1169399999999</v>
      </c>
      <c r="K28" s="483"/>
      <c r="O28" s="483"/>
    </row>
    <row r="29" spans="1:15">
      <c r="A29" s="483"/>
      <c r="B29" s="483"/>
      <c r="C29" s="483"/>
      <c r="D29" s="483"/>
      <c r="H29" s="483"/>
      <c r="K29" s="483" t="s">
        <v>5353</v>
      </c>
      <c r="O29" s="483">
        <f>4050*3.0413</f>
        <v>12317.265000000001</v>
      </c>
    </row>
    <row r="30" spans="1:15">
      <c r="A30" s="483"/>
      <c r="B30" s="483"/>
      <c r="C30" s="483"/>
      <c r="D30" s="483" t="s">
        <v>7045</v>
      </c>
      <c r="E30" s="483"/>
      <c r="K30" s="483" t="s">
        <v>5354</v>
      </c>
      <c r="L30" s="483"/>
      <c r="M30" s="483"/>
      <c r="N30" s="483"/>
      <c r="O30" s="483"/>
    </row>
    <row r="31" spans="1:15">
      <c r="A31" s="483"/>
      <c r="B31" s="486"/>
      <c r="C31" s="486"/>
      <c r="K31" s="483"/>
      <c r="L31" s="483"/>
      <c r="M31" s="483"/>
      <c r="N31" s="483"/>
      <c r="O31" s="483"/>
    </row>
    <row r="32" spans="1:15">
      <c r="A32" s="483"/>
      <c r="B32" s="483"/>
      <c r="C32" s="483"/>
      <c r="D32" s="483" t="s">
        <v>1697</v>
      </c>
      <c r="E32" s="483"/>
      <c r="F32" s="483"/>
      <c r="G32" s="483"/>
      <c r="H32" s="483">
        <v>30</v>
      </c>
    </row>
    <row r="33" spans="1:8">
      <c r="A33" s="483"/>
      <c r="B33" s="483"/>
      <c r="C33" s="483"/>
      <c r="D33" s="483"/>
      <c r="E33" s="483"/>
      <c r="F33" s="483"/>
      <c r="G33" s="483"/>
      <c r="H33" s="483"/>
    </row>
    <row r="34" spans="1:8">
      <c r="A34" s="483"/>
      <c r="B34" s="483"/>
      <c r="C34" s="483"/>
      <c r="D34" s="483"/>
      <c r="E34" s="483"/>
      <c r="F34" s="483"/>
      <c r="G34" s="483"/>
      <c r="H34" s="483"/>
    </row>
    <row r="35" spans="1:8" ht="13.5" thickBot="1">
      <c r="A35" s="483"/>
      <c r="B35" s="483"/>
      <c r="C35" s="483"/>
      <c r="D35" s="483"/>
      <c r="E35" s="483"/>
      <c r="F35" s="483"/>
      <c r="G35" s="483"/>
      <c r="H35" s="117">
        <f>SUM(H18:H33)</f>
        <v>41552.761756</v>
      </c>
    </row>
    <row r="36" spans="1:8" ht="13.5" thickTop="1">
      <c r="A36" s="483"/>
      <c r="B36" s="483"/>
      <c r="C36" s="483"/>
      <c r="D36" s="483"/>
      <c r="E36" s="483"/>
    </row>
    <row r="37" spans="1:8" ht="20.100000000000001" customHeight="1">
      <c r="A37" s="118" t="s">
        <v>204</v>
      </c>
      <c r="B37" s="204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Forty-One Thousand Five Hundred Fifty-Two and 76/100 -----------</v>
      </c>
      <c r="C37" s="204"/>
      <c r="D37" s="119"/>
      <c r="E37" s="119"/>
      <c r="F37" s="119"/>
      <c r="G37" s="119"/>
      <c r="H37" s="119"/>
    </row>
    <row r="38" spans="1:8" ht="20.100000000000001" customHeight="1">
      <c r="A38" s="160"/>
      <c r="B38" s="494"/>
      <c r="C38" s="494"/>
      <c r="D38" s="126"/>
      <c r="E38" s="126"/>
      <c r="F38" s="126"/>
      <c r="G38" s="126"/>
      <c r="H38" s="126"/>
    </row>
    <row r="39" spans="1:8" ht="25.5">
      <c r="A39" s="486" t="s">
        <v>3060</v>
      </c>
      <c r="B39" s="483"/>
      <c r="C39" s="483"/>
      <c r="D39" s="487"/>
      <c r="E39" s="483"/>
      <c r="F39" s="265" t="s">
        <v>2894</v>
      </c>
      <c r="G39" s="266"/>
      <c r="H39" s="267"/>
    </row>
    <row r="40" spans="1:8">
      <c r="A40" s="483"/>
      <c r="B40" s="483"/>
      <c r="C40" s="483"/>
      <c r="D40" s="483"/>
      <c r="E40" s="483"/>
      <c r="F40" s="310"/>
      <c r="G40" s="311"/>
      <c r="H40" s="311"/>
    </row>
    <row r="41" spans="1:8">
      <c r="B41" s="483"/>
      <c r="C41" s="483"/>
      <c r="D41" s="483"/>
      <c r="E41" s="483"/>
      <c r="F41" s="483"/>
      <c r="G41" s="483"/>
      <c r="H41" s="483"/>
    </row>
    <row r="42" spans="1:8">
      <c r="A42" s="483"/>
      <c r="B42" s="483"/>
      <c r="C42" s="483"/>
      <c r="D42" s="483"/>
      <c r="E42" s="483"/>
      <c r="F42" s="483"/>
      <c r="G42" s="483"/>
      <c r="H42" s="483"/>
    </row>
    <row r="43" spans="1:8">
      <c r="A43" s="122"/>
      <c r="B43" s="122"/>
      <c r="C43" s="483"/>
      <c r="D43" s="433"/>
      <c r="E43" s="483"/>
      <c r="F43" s="483"/>
      <c r="G43" s="483"/>
      <c r="H43" s="483"/>
    </row>
    <row r="44" spans="1:8">
      <c r="A44" s="483"/>
      <c r="B44" s="483"/>
      <c r="C44" s="483"/>
      <c r="D44" s="442"/>
      <c r="E44" s="483"/>
      <c r="F44" s="483"/>
      <c r="G44" s="483"/>
      <c r="H44" s="483"/>
    </row>
    <row r="45" spans="1:8">
      <c r="A45" s="483"/>
      <c r="B45" s="483"/>
      <c r="C45" s="483"/>
      <c r="D45" s="151"/>
      <c r="E45" s="483"/>
      <c r="F45" s="483"/>
      <c r="G45" s="483"/>
      <c r="H45" s="483"/>
    </row>
    <row r="46" spans="1:8">
      <c r="A46" s="487" t="s">
        <v>8</v>
      </c>
      <c r="B46" s="483"/>
      <c r="C46" s="483"/>
      <c r="D46" s="487" t="s">
        <v>8</v>
      </c>
      <c r="E46" s="483"/>
      <c r="F46" s="487" t="s">
        <v>7</v>
      </c>
      <c r="G46" s="483"/>
      <c r="H46" s="124"/>
    </row>
    <row r="47" spans="1:8">
      <c r="A47" s="483"/>
      <c r="B47" s="483"/>
      <c r="C47" s="483"/>
      <c r="D47" s="483"/>
      <c r="E47" s="483"/>
      <c r="F47" s="483"/>
      <c r="G47" s="483"/>
      <c r="H47" s="483"/>
    </row>
    <row r="48" spans="1:8">
      <c r="A48" s="483"/>
      <c r="B48" s="483"/>
      <c r="C48" s="483"/>
      <c r="D48" s="483"/>
      <c r="E48" s="483"/>
      <c r="F48" s="483"/>
      <c r="G48" s="483"/>
      <c r="H48" s="483"/>
    </row>
    <row r="49" spans="1:8">
      <c r="A49" s="483"/>
      <c r="B49" s="483"/>
      <c r="C49" s="483"/>
      <c r="D49" s="483"/>
      <c r="E49" s="483"/>
      <c r="F49" s="483"/>
      <c r="G49" s="483"/>
      <c r="H49" s="483"/>
    </row>
    <row r="50" spans="1:8">
      <c r="A50" s="122"/>
      <c r="B50" s="122"/>
      <c r="C50" s="483"/>
      <c r="D50" s="122"/>
      <c r="E50" s="483"/>
      <c r="F50" s="122"/>
      <c r="G50" s="122"/>
      <c r="H50" s="122"/>
    </row>
    <row r="51" spans="1:8" s="3" customFormat="1" ht="17.100000000000001" customHeight="1">
      <c r="A51" s="151" t="s">
        <v>2948</v>
      </c>
      <c r="B51" s="125"/>
      <c r="C51" s="125"/>
      <c r="D51" s="151" t="s">
        <v>103</v>
      </c>
      <c r="E51" s="126"/>
      <c r="F51" s="126" t="s">
        <v>3</v>
      </c>
      <c r="G51" s="126"/>
      <c r="H51" s="126"/>
    </row>
    <row r="52" spans="1:8">
      <c r="A52" s="483"/>
      <c r="B52" s="483"/>
      <c r="C52" s="483"/>
      <c r="D52" s="483"/>
      <c r="E52" s="483"/>
      <c r="F52" s="483" t="s">
        <v>2</v>
      </c>
      <c r="G52" s="483"/>
      <c r="H52" s="483"/>
    </row>
    <row r="53" spans="1:8">
      <c r="A53" s="483"/>
      <c r="B53" s="483"/>
      <c r="C53" s="483"/>
      <c r="D53" s="483"/>
      <c r="E53" s="483"/>
      <c r="F53" s="483"/>
      <c r="G53" s="483"/>
      <c r="H53" s="483"/>
    </row>
    <row r="54" spans="1:8">
      <c r="A54" s="483"/>
      <c r="B54" s="483"/>
      <c r="C54" s="483"/>
      <c r="D54" s="483"/>
      <c r="E54" s="483"/>
      <c r="F54" s="482" t="s">
        <v>1</v>
      </c>
      <c r="G54" s="483"/>
      <c r="H54" s="483"/>
    </row>
    <row r="55" spans="1:8">
      <c r="A55" s="483"/>
      <c r="B55" s="483"/>
      <c r="C55" s="483"/>
      <c r="D55" s="483"/>
      <c r="E55" s="483"/>
      <c r="F55" s="482" t="s">
        <v>0</v>
      </c>
      <c r="G55" s="483"/>
      <c r="H55" s="483"/>
    </row>
    <row r="56" spans="1:8">
      <c r="A56" s="483"/>
      <c r="B56" s="483"/>
      <c r="C56" s="483"/>
      <c r="D56" s="483"/>
      <c r="E56" s="483"/>
      <c r="F56" s="483"/>
      <c r="G56" s="483"/>
      <c r="H56" s="483"/>
    </row>
    <row r="57" spans="1:8">
      <c r="A57" s="483"/>
      <c r="B57" s="483"/>
      <c r="C57" s="483"/>
      <c r="D57" s="483"/>
      <c r="E57" s="483"/>
      <c r="F57" s="483"/>
      <c r="G57" s="483"/>
      <c r="H57" s="483"/>
    </row>
    <row r="58" spans="1:8">
      <c r="A58" s="483"/>
      <c r="B58" s="483"/>
      <c r="C58" s="483"/>
      <c r="D58" s="483"/>
      <c r="E58" s="483"/>
      <c r="F58" s="483"/>
      <c r="G58" s="483"/>
      <c r="H58" s="483"/>
    </row>
    <row r="59" spans="1:8">
      <c r="A59" s="483"/>
      <c r="B59" s="483"/>
      <c r="C59" s="483"/>
      <c r="D59" s="483"/>
      <c r="E59" s="483"/>
      <c r="F59" s="483"/>
      <c r="G59" s="483"/>
      <c r="H59" s="483"/>
    </row>
    <row r="60" spans="1:8">
      <c r="A60" s="483"/>
      <c r="B60" s="483"/>
      <c r="C60" s="483"/>
      <c r="D60" s="483"/>
      <c r="E60" s="483"/>
      <c r="F60" s="483"/>
      <c r="G60" s="483"/>
      <c r="H60" s="483"/>
    </row>
    <row r="61" spans="1:8">
      <c r="A61" s="483"/>
      <c r="B61" s="483"/>
      <c r="C61" s="483"/>
      <c r="D61" s="483"/>
      <c r="E61" s="483"/>
      <c r="F61" s="483"/>
      <c r="G61" s="483"/>
      <c r="H61" s="483"/>
    </row>
    <row r="62" spans="1:8">
      <c r="A62" s="483"/>
      <c r="B62" s="483"/>
      <c r="C62" s="483"/>
      <c r="D62" s="483"/>
      <c r="E62" s="483"/>
      <c r="F62" s="483"/>
      <c r="G62" s="483"/>
      <c r="H62" s="483"/>
    </row>
    <row r="63" spans="1:8">
      <c r="A63" s="483"/>
      <c r="B63" s="483"/>
      <c r="C63" s="483"/>
      <c r="D63" s="483"/>
      <c r="E63" s="483"/>
      <c r="F63" s="483"/>
      <c r="G63" s="483"/>
      <c r="H63" s="483"/>
    </row>
    <row r="64" spans="1:8">
      <c r="A64" s="483"/>
      <c r="B64" s="483"/>
      <c r="C64" s="483"/>
      <c r="D64" s="483"/>
      <c r="E64" s="483"/>
      <c r="F64" s="483"/>
      <c r="G64" s="483"/>
      <c r="H64" s="483"/>
    </row>
    <row r="65" spans="1:8">
      <c r="A65" s="483"/>
      <c r="B65" s="483"/>
      <c r="C65" s="483"/>
      <c r="D65" s="483"/>
      <c r="E65" s="483"/>
      <c r="F65" s="483"/>
      <c r="G65" s="483"/>
      <c r="H65" s="483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5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57">
    <pageSetUpPr fitToPage="1"/>
  </sheetPr>
  <dimension ref="A1:H56"/>
  <sheetViews>
    <sheetView zoomScaleNormal="100" workbookViewId="0">
      <selection activeCell="G9" sqref="G9:G13"/>
    </sheetView>
  </sheetViews>
  <sheetFormatPr defaultRowHeight="12.75"/>
  <cols>
    <col min="1" max="1" width="16.140625" style="1" customWidth="1"/>
    <col min="2" max="2" width="12.5703125" style="1" customWidth="1"/>
    <col min="3" max="3" width="1" style="1" customWidth="1"/>
    <col min="4" max="4" width="28.42578125" style="1" customWidth="1"/>
    <col min="5" max="5" width="0.7109375" style="1" customWidth="1"/>
    <col min="6" max="6" width="13.8554687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111" t="s">
        <v>5549</v>
      </c>
      <c r="H9" s="111"/>
    </row>
    <row r="10" spans="1:8">
      <c r="A10" s="111" t="s">
        <v>4205</v>
      </c>
      <c r="B10" s="111"/>
      <c r="C10" s="111"/>
      <c r="D10" s="111"/>
      <c r="E10" s="111"/>
      <c r="F10" s="112" t="s">
        <v>1162</v>
      </c>
      <c r="G10" s="111" t="s">
        <v>5550</v>
      </c>
      <c r="H10" s="111"/>
    </row>
    <row r="11" spans="1:8">
      <c r="A11" s="111" t="s">
        <v>4231</v>
      </c>
      <c r="B11" s="111"/>
      <c r="C11" s="111"/>
      <c r="D11" s="111"/>
      <c r="E11" s="111"/>
      <c r="F11" s="112" t="s">
        <v>1163</v>
      </c>
      <c r="G11" s="111" t="s">
        <v>1094</v>
      </c>
      <c r="H11" s="111"/>
    </row>
    <row r="12" spans="1:8">
      <c r="A12" s="111" t="s">
        <v>4232</v>
      </c>
      <c r="B12" s="111"/>
      <c r="C12" s="111"/>
      <c r="D12" s="111"/>
      <c r="E12" s="111"/>
      <c r="F12" s="112" t="s">
        <v>1135</v>
      </c>
      <c r="G12" s="120" t="s">
        <v>1270</v>
      </c>
      <c r="H12" s="111"/>
    </row>
    <row r="13" spans="1:8">
      <c r="A13" s="111" t="s">
        <v>4233</v>
      </c>
      <c r="B13" s="111"/>
      <c r="C13" s="111"/>
      <c r="D13" s="111"/>
      <c r="E13" s="111"/>
      <c r="F13" s="111"/>
      <c r="G13" s="131"/>
      <c r="H13" s="111"/>
    </row>
    <row r="14" spans="1:8">
      <c r="A14" s="111" t="s">
        <v>4234</v>
      </c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8" t="s">
        <v>1132</v>
      </c>
      <c r="C16" s="18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2" t="s">
        <v>4205</v>
      </c>
      <c r="E18" s="2"/>
      <c r="F18" s="111"/>
      <c r="G18" s="111"/>
      <c r="H18" s="111"/>
    </row>
    <row r="19" spans="1:8">
      <c r="A19" s="116"/>
      <c r="B19" s="116"/>
      <c r="C19" s="116"/>
      <c r="D19" s="111"/>
      <c r="E19" s="111"/>
      <c r="F19" s="111"/>
      <c r="G19" s="111"/>
      <c r="H19" s="111"/>
    </row>
    <row r="20" spans="1:8">
      <c r="A20" s="116" t="s">
        <v>5495</v>
      </c>
      <c r="B20" s="116" t="s">
        <v>5551</v>
      </c>
      <c r="C20" s="116"/>
      <c r="D20" s="111" t="s">
        <v>5575</v>
      </c>
      <c r="E20" s="111"/>
      <c r="F20" s="111"/>
      <c r="G20" s="111"/>
      <c r="H20" s="111">
        <f>3340*4.1103</f>
        <v>13728.401999999998</v>
      </c>
    </row>
    <row r="21" spans="1:8">
      <c r="A21" s="116"/>
      <c r="B21" s="116"/>
      <c r="C21" s="111"/>
      <c r="D21" s="111" t="s">
        <v>5552</v>
      </c>
      <c r="E21" s="111"/>
      <c r="F21" s="111"/>
      <c r="G21" s="111"/>
      <c r="H21" s="111">
        <f>3730*4.1103</f>
        <v>15331.418999999998</v>
      </c>
    </row>
    <row r="22" spans="1:8">
      <c r="A22" s="116"/>
      <c r="B22" s="116"/>
      <c r="C22" s="116"/>
      <c r="D22" s="111"/>
      <c r="E22" s="111"/>
      <c r="F22" s="111"/>
      <c r="G22" s="111"/>
      <c r="H22" s="111"/>
    </row>
    <row r="23" spans="1:8">
      <c r="A23" s="116"/>
      <c r="B23" s="116"/>
      <c r="C23" s="116"/>
      <c r="D23" s="111" t="s">
        <v>1697</v>
      </c>
      <c r="E23" s="111"/>
      <c r="F23" s="111"/>
      <c r="G23" s="111"/>
      <c r="H23" s="111">
        <v>30</v>
      </c>
    </row>
    <row r="24" spans="1:8">
      <c r="B24" s="116"/>
      <c r="C24" s="116"/>
      <c r="D24" s="111"/>
      <c r="E24" s="111"/>
      <c r="F24" s="111"/>
      <c r="G24" s="111"/>
      <c r="H24" s="111"/>
    </row>
    <row r="25" spans="1:8">
      <c r="B25" s="116"/>
      <c r="C25" s="116"/>
      <c r="D25" s="111"/>
      <c r="E25" s="111"/>
      <c r="F25" s="111"/>
      <c r="G25" s="111"/>
      <c r="H25" s="111"/>
    </row>
    <row r="26" spans="1:8">
      <c r="A26" s="116"/>
      <c r="B26" s="116"/>
      <c r="C26" s="116"/>
      <c r="D26" s="111"/>
      <c r="E26" s="111"/>
      <c r="F26" s="111"/>
      <c r="G26" s="111"/>
      <c r="H26" s="111"/>
    </row>
    <row r="27" spans="1:8">
      <c r="A27" s="116"/>
      <c r="B27" s="116"/>
      <c r="C27" s="116"/>
      <c r="D27" s="111"/>
      <c r="E27" s="111"/>
      <c r="F27" s="111"/>
      <c r="G27" s="111"/>
      <c r="H27" s="111"/>
    </row>
    <row r="28" spans="1:8">
      <c r="A28" s="116"/>
      <c r="B28" s="116"/>
      <c r="C28" s="111"/>
      <c r="D28" s="111"/>
      <c r="E28" s="111"/>
      <c r="F28" s="111"/>
      <c r="G28" s="111"/>
      <c r="H28" s="111"/>
    </row>
    <row r="29" spans="1:8">
      <c r="A29" s="116"/>
      <c r="B29" s="116"/>
      <c r="C29" s="116"/>
      <c r="D29" s="111"/>
      <c r="E29" s="111"/>
      <c r="F29" s="111"/>
      <c r="G29" s="111"/>
      <c r="H29" s="111"/>
    </row>
    <row r="30" spans="1:8">
      <c r="B30" s="116"/>
      <c r="C30" s="116"/>
      <c r="D30" s="111"/>
      <c r="E30" s="111"/>
      <c r="F30" s="111"/>
      <c r="G30" s="111"/>
      <c r="H30" s="111"/>
    </row>
    <row r="31" spans="1:8">
      <c r="B31" s="116"/>
      <c r="C31" s="116"/>
    </row>
    <row r="32" spans="1:8">
      <c r="B32" s="116"/>
      <c r="C32" s="116"/>
    </row>
    <row r="33" spans="1:8">
      <c r="A33" s="116"/>
      <c r="B33" s="116"/>
      <c r="C33" s="116"/>
    </row>
    <row r="34" spans="1:8">
      <c r="A34" s="111"/>
      <c r="B34" s="111"/>
      <c r="C34" s="111"/>
      <c r="D34" s="111"/>
      <c r="E34" s="111"/>
      <c r="F34" s="111"/>
      <c r="G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29089.820999999996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Twenty-Nine Thousand Eighty-Nine and 82/100 -----------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26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11"/>
      <c r="B41" s="111"/>
      <c r="C41" s="111"/>
      <c r="D41" s="111"/>
      <c r="E41" s="111"/>
      <c r="F41" s="111"/>
      <c r="G41" s="111"/>
      <c r="H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1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28">
    <pageSetUpPr fitToPage="1"/>
  </sheetPr>
  <dimension ref="A1:F54"/>
  <sheetViews>
    <sheetView workbookViewId="0">
      <selection activeCell="G9" sqref="G9:G13"/>
    </sheetView>
  </sheetViews>
  <sheetFormatPr defaultRowHeight="12.75"/>
  <cols>
    <col min="1" max="1" width="15.5703125" style="111" customWidth="1"/>
    <col min="2" max="2" width="18.42578125" style="111" customWidth="1"/>
    <col min="3" max="3" width="20" style="111" customWidth="1"/>
    <col min="4" max="4" width="17.42578125" style="111" customWidth="1"/>
    <col min="5" max="5" width="9.28515625" style="111" customWidth="1"/>
    <col min="6" max="6" width="13.28515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1716</v>
      </c>
      <c r="E9" s="111" t="s">
        <v>4171</v>
      </c>
    </row>
    <row r="10" spans="1:6">
      <c r="A10" s="111" t="s">
        <v>4173</v>
      </c>
      <c r="D10" s="112" t="s">
        <v>1162</v>
      </c>
      <c r="E10" s="123" t="s">
        <v>4161</v>
      </c>
    </row>
    <row r="11" spans="1:6">
      <c r="A11" s="111" t="s">
        <v>4174</v>
      </c>
      <c r="D11" s="112" t="s">
        <v>1163</v>
      </c>
      <c r="E11" s="112" t="s">
        <v>1094</v>
      </c>
    </row>
    <row r="12" spans="1:6">
      <c r="A12" s="111" t="s">
        <v>2639</v>
      </c>
      <c r="D12" s="112" t="s">
        <v>1096</v>
      </c>
      <c r="E12" s="112" t="s">
        <v>4172</v>
      </c>
    </row>
    <row r="13" spans="1:6">
      <c r="A13" s="111" t="s">
        <v>4175</v>
      </c>
    </row>
    <row r="14" spans="1:6">
      <c r="A14" s="111" t="s">
        <v>4176</v>
      </c>
    </row>
    <row r="16" spans="1:6" s="15" customFormat="1" ht="20.100000000000001" customHeight="1">
      <c r="A16" s="18" t="s">
        <v>1113</v>
      </c>
      <c r="B16" s="129" t="s">
        <v>1114</v>
      </c>
      <c r="C16" s="19" t="s">
        <v>14</v>
      </c>
      <c r="D16" s="18"/>
      <c r="E16" s="17"/>
      <c r="F16" s="16" t="s">
        <v>13</v>
      </c>
    </row>
    <row r="18" spans="1:6" ht="12.75" customHeight="1">
      <c r="A18" s="116"/>
      <c r="B18" s="313"/>
      <c r="C18" s="2" t="s">
        <v>3711</v>
      </c>
    </row>
    <row r="19" spans="1:6">
      <c r="A19" s="120"/>
      <c r="B19" s="313"/>
    </row>
    <row r="20" spans="1:6">
      <c r="A20" s="116" t="s">
        <v>4177</v>
      </c>
      <c r="B20" s="241" t="s">
        <v>4178</v>
      </c>
      <c r="C20" s="131" t="s">
        <v>4179</v>
      </c>
      <c r="F20" s="111">
        <f>56*7.547169</f>
        <v>422.64146400000004</v>
      </c>
    </row>
    <row r="21" spans="1:6">
      <c r="A21" s="116"/>
      <c r="B21" s="241"/>
      <c r="C21" s="131" t="s">
        <v>1814</v>
      </c>
      <c r="F21" s="111">
        <f>F20*6%</f>
        <v>25.358487840000002</v>
      </c>
    </row>
    <row r="22" spans="1:6">
      <c r="A22" s="158"/>
      <c r="B22" s="158"/>
      <c r="C22" s="131"/>
      <c r="D22" s="131"/>
      <c r="E22" s="131"/>
      <c r="F22" s="131"/>
    </row>
    <row r="23" spans="1:6">
      <c r="A23" s="112"/>
      <c r="B23" s="241"/>
    </row>
    <row r="24" spans="1:6">
      <c r="A24" s="116"/>
      <c r="B24" s="241"/>
    </row>
    <row r="25" spans="1:6">
      <c r="B25" s="314"/>
    </row>
    <row r="26" spans="1:6">
      <c r="A26" s="112"/>
      <c r="B26" s="313"/>
    </row>
    <row r="27" spans="1:6">
      <c r="A27" s="120"/>
      <c r="B27" s="313"/>
    </row>
    <row r="28" spans="1:6">
      <c r="A28" s="116"/>
      <c r="B28" s="241"/>
    </row>
    <row r="31" spans="1:6">
      <c r="F31" s="2"/>
    </row>
    <row r="32" spans="1:6">
      <c r="B32" s="120"/>
    </row>
    <row r="33" spans="1:6">
      <c r="B33" s="120"/>
    </row>
    <row r="35" spans="1:6" ht="13.5" thickBot="1">
      <c r="F35" s="127">
        <f>SUM(F18:F34)</f>
        <v>447.99995184000005</v>
      </c>
    </row>
    <row r="36" spans="1:6" ht="13.5" thickTop="1"/>
    <row r="37" spans="1:6" ht="20.100000000000001" customHeight="1">
      <c r="A37" s="118" t="s">
        <v>1717</v>
      </c>
      <c r="B37" s="202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Four Hundred Forty-Seven and 100/100 -----------</v>
      </c>
      <c r="C37" s="119"/>
      <c r="D37" s="119"/>
      <c r="E37" s="119"/>
      <c r="F37" s="119"/>
    </row>
    <row r="38" spans="1:6">
      <c r="A38" s="120"/>
    </row>
    <row r="39" spans="1:6" ht="25.5">
      <c r="A39" s="123" t="s">
        <v>10</v>
      </c>
      <c r="D39" s="265" t="s">
        <v>2894</v>
      </c>
      <c r="E39" s="266"/>
      <c r="F39" s="267"/>
    </row>
    <row r="40" spans="1:6">
      <c r="A40" s="123"/>
    </row>
    <row r="41" spans="1:6">
      <c r="A41" s="123"/>
      <c r="D41" s="309"/>
      <c r="E41" s="309"/>
      <c r="F41" s="309"/>
    </row>
    <row r="42" spans="1:6">
      <c r="A42" s="123"/>
      <c r="C42" s="121"/>
      <c r="D42" s="310"/>
      <c r="E42" s="311"/>
      <c r="F42" s="311"/>
    </row>
    <row r="43" spans="1:6">
      <c r="A43" s="122"/>
      <c r="B43" s="122"/>
    </row>
    <row r="44" spans="1:6">
      <c r="A44" s="123"/>
    </row>
    <row r="45" spans="1:6">
      <c r="A45" s="123" t="s">
        <v>8</v>
      </c>
      <c r="D45" s="123" t="s">
        <v>7</v>
      </c>
      <c r="F45" s="124"/>
    </row>
    <row r="46" spans="1:6">
      <c r="A46" s="123"/>
    </row>
    <row r="47" spans="1:6">
      <c r="A47" s="123"/>
    </row>
    <row r="48" spans="1:6">
      <c r="A48" s="123"/>
    </row>
    <row r="49" spans="1:6">
      <c r="A49" s="150"/>
      <c r="B49" s="122"/>
      <c r="D49" s="122"/>
      <c r="E49" s="122"/>
      <c r="F49" s="122"/>
    </row>
    <row r="50" spans="1:6" s="126" customFormat="1" ht="17.100000000000001" customHeight="1">
      <c r="A50" s="123" t="s">
        <v>2948</v>
      </c>
      <c r="B50" s="125"/>
      <c r="D50" s="126" t="s">
        <v>3</v>
      </c>
    </row>
    <row r="51" spans="1:6">
      <c r="A51" s="123"/>
      <c r="D51" s="111" t="s">
        <v>2</v>
      </c>
    </row>
    <row r="52" spans="1:6">
      <c r="A52" s="123"/>
    </row>
    <row r="53" spans="1:6">
      <c r="D53" s="2" t="s">
        <v>1</v>
      </c>
    </row>
    <row r="54" spans="1:6">
      <c r="D54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3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29">
    <pageSetUpPr fitToPage="1"/>
  </sheetPr>
  <dimension ref="A1:G60"/>
  <sheetViews>
    <sheetView topLeftCell="A7" zoomScaleSheetLayoutView="100" workbookViewId="0">
      <selection activeCell="G9" sqref="G9:G13"/>
    </sheetView>
  </sheetViews>
  <sheetFormatPr defaultRowHeight="16.5"/>
  <cols>
    <col min="1" max="1" width="15.5703125" style="227" customWidth="1"/>
    <col min="2" max="2" width="17.42578125" style="227" customWidth="1"/>
    <col min="3" max="3" width="19.85546875" style="227" customWidth="1"/>
    <col min="4" max="4" width="16.42578125" style="227" customWidth="1"/>
    <col min="5" max="5" width="8.140625" style="227" customWidth="1"/>
    <col min="6" max="6" width="13.28515625" style="227" customWidth="1"/>
    <col min="7" max="7" width="16.140625" style="209" customWidth="1"/>
    <col min="8" max="8" width="9.7109375" style="209" bestFit="1" customWidth="1"/>
    <col min="9" max="9" width="9.140625" style="209"/>
    <col min="10" max="10" width="12" style="209" bestFit="1" customWidth="1"/>
    <col min="11" max="16384" width="9.140625" style="209"/>
  </cols>
  <sheetData>
    <row r="1" spans="1:7" ht="15" customHeight="1">
      <c r="A1" s="531" t="s">
        <v>26</v>
      </c>
      <c r="B1" s="531"/>
      <c r="C1" s="531"/>
      <c r="D1" s="531"/>
      <c r="E1" s="531"/>
      <c r="F1" s="531"/>
    </row>
    <row r="2" spans="1:7" ht="12.75" customHeight="1">
      <c r="A2" s="532" t="s">
        <v>25</v>
      </c>
      <c r="B2" s="532"/>
      <c r="C2" s="532"/>
      <c r="D2" s="532"/>
      <c r="E2" s="532"/>
      <c r="F2" s="532"/>
    </row>
    <row r="3" spans="1:7" ht="12.75" customHeight="1">
      <c r="A3" s="532" t="s">
        <v>1480</v>
      </c>
      <c r="B3" s="532"/>
      <c r="C3" s="532"/>
      <c r="D3" s="532"/>
      <c r="E3" s="532"/>
      <c r="F3" s="532"/>
    </row>
    <row r="4" spans="1:7" ht="12.75" customHeight="1">
      <c r="A4" s="532" t="s">
        <v>1684</v>
      </c>
      <c r="B4" s="532"/>
      <c r="C4" s="532"/>
      <c r="D4" s="532"/>
      <c r="E4" s="532"/>
      <c r="F4" s="532"/>
    </row>
    <row r="5" spans="1:7" ht="12.75" customHeight="1">
      <c r="A5" s="131"/>
      <c r="B5" s="131"/>
      <c r="C5" s="131"/>
      <c r="D5" s="131"/>
      <c r="E5" s="131"/>
      <c r="F5" s="131"/>
    </row>
    <row r="6" spans="1:7" ht="12.75" customHeight="1">
      <c r="A6" s="131"/>
      <c r="B6" s="131"/>
      <c r="C6" s="131"/>
      <c r="D6" s="131"/>
      <c r="E6" s="131"/>
      <c r="F6" s="131"/>
    </row>
    <row r="7" spans="1:7" ht="12.75" customHeight="1">
      <c r="A7" s="131"/>
      <c r="B7" s="131"/>
      <c r="C7" s="131"/>
      <c r="D7" s="131"/>
      <c r="E7" s="131"/>
      <c r="F7" s="131"/>
    </row>
    <row r="8" spans="1:7" s="211" customFormat="1" ht="12.75" customHeight="1">
      <c r="A8" s="147" t="s">
        <v>24</v>
      </c>
      <c r="B8" s="147"/>
      <c r="C8" s="147"/>
      <c r="D8" s="210" t="s">
        <v>23</v>
      </c>
      <c r="E8" s="147"/>
      <c r="F8" s="147"/>
    </row>
    <row r="9" spans="1:7" s="211" customFormat="1" ht="12.75" customHeight="1">
      <c r="A9" s="147"/>
      <c r="B9" s="147"/>
      <c r="C9" s="147"/>
      <c r="D9" s="212" t="s">
        <v>1723</v>
      </c>
      <c r="E9" s="132" t="s">
        <v>4971</v>
      </c>
      <c r="F9" s="131"/>
    </row>
    <row r="10" spans="1:7" s="211" customFormat="1" ht="12.75" customHeight="1">
      <c r="A10" s="147" t="s">
        <v>3956</v>
      </c>
      <c r="B10" s="147"/>
      <c r="C10" s="147"/>
      <c r="D10" s="212" t="s">
        <v>1340</v>
      </c>
      <c r="E10" s="132" t="s">
        <v>4961</v>
      </c>
      <c r="F10" s="131"/>
    </row>
    <row r="11" spans="1:7" s="211" customFormat="1" ht="12.75" customHeight="1">
      <c r="A11" s="147" t="s">
        <v>3957</v>
      </c>
      <c r="B11" s="147"/>
      <c r="C11" s="147"/>
      <c r="D11" s="212" t="s">
        <v>1341</v>
      </c>
      <c r="E11" s="132" t="s">
        <v>1094</v>
      </c>
      <c r="F11" s="131"/>
    </row>
    <row r="12" spans="1:7" s="211" customFormat="1" ht="12.75" customHeight="1">
      <c r="A12" s="147" t="s">
        <v>3958</v>
      </c>
      <c r="B12" s="147"/>
      <c r="C12" s="147"/>
      <c r="D12" s="212" t="s">
        <v>2136</v>
      </c>
      <c r="E12" s="120" t="s">
        <v>4972</v>
      </c>
      <c r="F12" s="131"/>
    </row>
    <row r="13" spans="1:7" s="211" customFormat="1" ht="12.75" customHeight="1">
      <c r="A13" s="147" t="s">
        <v>3959</v>
      </c>
      <c r="B13" s="147"/>
      <c r="C13" s="147"/>
      <c r="D13" s="147"/>
      <c r="E13" s="131"/>
      <c r="F13" s="147"/>
    </row>
    <row r="14" spans="1:7" s="211" customFormat="1" ht="12.75" customHeight="1">
      <c r="A14" s="147" t="s">
        <v>1287</v>
      </c>
      <c r="B14" s="147"/>
      <c r="C14" s="147"/>
      <c r="D14" s="147"/>
      <c r="E14" s="147"/>
      <c r="F14" s="147"/>
    </row>
    <row r="15" spans="1:7" s="213" customFormat="1" ht="12.75" customHeight="1">
      <c r="A15" s="147"/>
      <c r="B15" s="147"/>
      <c r="C15" s="147"/>
      <c r="D15" s="147"/>
      <c r="E15" s="147"/>
      <c r="F15" s="147"/>
    </row>
    <row r="16" spans="1:7" s="213" customFormat="1">
      <c r="A16" s="91" t="s">
        <v>1122</v>
      </c>
      <c r="B16" s="91" t="s">
        <v>1098</v>
      </c>
      <c r="C16" s="92" t="s">
        <v>14</v>
      </c>
      <c r="D16" s="90"/>
      <c r="E16" s="91"/>
      <c r="F16" s="94" t="s">
        <v>13</v>
      </c>
      <c r="G16" s="214"/>
    </row>
    <row r="17" spans="1:7" s="213" customFormat="1" ht="12.75" customHeight="1">
      <c r="A17" s="215"/>
      <c r="B17" s="216"/>
      <c r="C17" s="217"/>
      <c r="D17" s="216"/>
      <c r="E17" s="218"/>
      <c r="F17" s="219"/>
      <c r="G17" s="214"/>
    </row>
    <row r="18" spans="1:7" s="211" customFormat="1" ht="12.75" customHeight="1">
      <c r="A18" s="220"/>
      <c r="B18" s="145"/>
      <c r="C18" s="95" t="s">
        <v>4901</v>
      </c>
      <c r="D18" s="147"/>
      <c r="E18" s="147"/>
      <c r="F18" s="147"/>
      <c r="G18" s="221"/>
    </row>
    <row r="19" spans="1:7" s="211" customFormat="1" ht="12.75" customHeight="1">
      <c r="A19" s="220"/>
      <c r="B19" s="145"/>
      <c r="C19" s="147"/>
      <c r="D19" s="147"/>
      <c r="E19" s="147"/>
      <c r="F19" s="147"/>
      <c r="G19" s="221"/>
    </row>
    <row r="20" spans="1:7" s="224" customFormat="1" ht="12.75" customHeight="1">
      <c r="A20" s="281" t="s">
        <v>4962</v>
      </c>
      <c r="B20" s="281" t="s">
        <v>4973</v>
      </c>
      <c r="C20" s="147" t="s">
        <v>4974</v>
      </c>
      <c r="F20" s="147">
        <v>350</v>
      </c>
    </row>
    <row r="21" spans="1:7" s="224" customFormat="1" ht="12.75" customHeight="1">
      <c r="A21" s="220"/>
      <c r="B21" s="145"/>
      <c r="C21" s="147" t="s">
        <v>1814</v>
      </c>
      <c r="D21" s="147"/>
      <c r="E21" s="147"/>
      <c r="F21" s="147">
        <f>F20*6%</f>
        <v>21</v>
      </c>
      <c r="G21" s="147"/>
    </row>
    <row r="22" spans="1:7" s="211" customFormat="1" ht="12.75" customHeight="1">
      <c r="A22" s="225"/>
      <c r="B22" s="145"/>
      <c r="C22" s="147"/>
      <c r="D22" s="147"/>
      <c r="E22" s="147"/>
      <c r="F22" s="147"/>
      <c r="G22" s="147"/>
    </row>
    <row r="23" spans="1:7" s="224" customFormat="1" ht="12.75" customHeight="1">
      <c r="A23" s="147"/>
      <c r="B23" s="145"/>
      <c r="C23" s="147"/>
      <c r="D23" s="147"/>
      <c r="E23" s="147"/>
      <c r="F23" s="147"/>
      <c r="G23" s="147"/>
    </row>
    <row r="24" spans="1:7" s="224" customFormat="1" ht="12.75" customHeight="1">
      <c r="A24" s="220"/>
      <c r="B24" s="145"/>
      <c r="C24" s="147"/>
      <c r="D24" s="147"/>
      <c r="E24" s="147"/>
      <c r="F24" s="147"/>
      <c r="G24" s="147"/>
    </row>
    <row r="25" spans="1:7" s="224" customFormat="1" ht="12.75" customHeight="1">
      <c r="A25" s="220"/>
      <c r="B25" s="145"/>
      <c r="C25" s="147"/>
      <c r="F25" s="147"/>
      <c r="G25" s="147"/>
    </row>
    <row r="26" spans="1:7" s="224" customFormat="1" ht="12.75" customHeight="1">
      <c r="A26" s="147"/>
      <c r="B26" s="145"/>
      <c r="C26" s="147"/>
      <c r="D26" s="147"/>
      <c r="E26" s="147"/>
      <c r="F26" s="147"/>
      <c r="G26" s="147"/>
    </row>
    <row r="27" spans="1:7" s="224" customFormat="1" ht="12.75" customHeight="1">
      <c r="A27" s="220"/>
      <c r="B27" s="145"/>
      <c r="C27" s="147"/>
      <c r="D27" s="147"/>
      <c r="E27" s="147"/>
      <c r="F27" s="147"/>
      <c r="G27" s="147"/>
    </row>
    <row r="28" spans="1:7" s="224" customFormat="1" ht="12.75" customHeight="1">
      <c r="A28" s="220"/>
      <c r="B28" s="145"/>
      <c r="C28" s="95"/>
      <c r="D28" s="147"/>
      <c r="E28" s="147"/>
      <c r="F28" s="147"/>
      <c r="G28" s="147"/>
    </row>
    <row r="29" spans="1:7" s="224" customFormat="1" ht="12.75" customHeight="1">
      <c r="A29" s="222"/>
      <c r="B29" s="146"/>
      <c r="C29" s="147"/>
      <c r="D29" s="147"/>
      <c r="E29" s="147"/>
      <c r="F29" s="147"/>
      <c r="G29" s="147"/>
    </row>
    <row r="30" spans="1:7" s="227" customFormat="1" ht="12.75" customHeight="1">
      <c r="A30" s="222"/>
      <c r="B30" s="145"/>
      <c r="C30" s="147"/>
      <c r="D30" s="147"/>
      <c r="E30" s="147"/>
      <c r="F30" s="147"/>
      <c r="G30" s="131"/>
    </row>
    <row r="31" spans="1:7" ht="12.75" customHeight="1">
      <c r="A31" s="222"/>
      <c r="B31" s="145"/>
      <c r="C31" s="147"/>
      <c r="D31" s="147"/>
      <c r="E31" s="147"/>
      <c r="F31" s="147"/>
      <c r="G31" s="131"/>
    </row>
    <row r="32" spans="1:7" s="211" customFormat="1" ht="12.75" customHeight="1">
      <c r="A32" s="147"/>
      <c r="B32" s="147"/>
      <c r="C32" s="147"/>
      <c r="D32" s="147"/>
      <c r="E32" s="131"/>
      <c r="F32" s="131"/>
      <c r="G32" s="147"/>
    </row>
    <row r="33" spans="1:7" s="211" customFormat="1" ht="12.75" customHeight="1">
      <c r="A33" s="222"/>
      <c r="B33" s="145"/>
      <c r="C33" s="147"/>
      <c r="D33" s="147"/>
      <c r="E33" s="147"/>
      <c r="F33" s="147"/>
      <c r="G33" s="147"/>
    </row>
    <row r="34" spans="1:7" s="211" customFormat="1" ht="12.75" customHeight="1">
      <c r="A34" s="225"/>
      <c r="B34" s="145"/>
      <c r="C34" s="147"/>
      <c r="D34" s="147"/>
      <c r="E34" s="147"/>
      <c r="F34" s="147"/>
      <c r="G34" s="147"/>
    </row>
    <row r="35" spans="1:7" s="211" customFormat="1" ht="15.75" customHeight="1" thickBot="1">
      <c r="A35" s="327"/>
      <c r="B35" s="147"/>
      <c r="C35" s="147"/>
      <c r="D35" s="147"/>
      <c r="E35" s="147"/>
      <c r="F35" s="230">
        <f>SUM(F19:F33)</f>
        <v>371</v>
      </c>
      <c r="G35" s="147"/>
    </row>
    <row r="36" spans="1:7" s="211" customFormat="1" ht="12.75" customHeight="1" thickTop="1">
      <c r="A36" s="229"/>
      <c r="B36" s="224"/>
      <c r="C36" s="224"/>
      <c r="D36" s="224"/>
      <c r="E36" s="224"/>
      <c r="F36" s="224"/>
      <c r="G36" s="221"/>
    </row>
    <row r="37" spans="1:7" ht="20.100000000000001" customHeight="1">
      <c r="A37" s="138" t="s">
        <v>1133</v>
      </c>
      <c r="B37" s="204" t="str">
        <f>IF(OR(F35&gt;1000000,F35&lt;=0),"",IF(F35&lt;1000,"",IF(MOD(F35,1000000)&gt;=100000,INDEX(numbers,TRUNC(MOD(F35,1000000)/100000,0)+1)&amp;" Hundred","")&amp;IF(MOD(F35,100000)&gt;=20000," "&amp;INDEX(tens,TRUNC(MOD(F35,100000)/10000,0)+1)&amp;IF(MOD(MOD(F35,100000),10000)&gt;=1000,"-"&amp;INDEX(numbers,TRUNC(MOD(MOD(F35,100000),10000)/1000,0)+1),""),IF(MOD(F35,100000)&gt;=1000," "&amp;INDEX(numbers,TRUNC(MOD(F35,100000)/1000,0)+1),""))&amp;" Thousand") &amp; IF(F35&lt;1,"Zero Dollars",IF(MOD(F35,1000)&gt;=100," "&amp;INDEX(numbers,TRUNC(MOD(F35,1000)/100,0)+1)&amp;" Hundred","")&amp;IF(MOD(F35,100)&gt;=20," "&amp;INDEX(tens,TRUNC(MOD(F35,100)/10,0)+1)&amp;IF(MOD(MOD(F35,100),10)&gt;=1,"-"&amp;INDEX(numbers,TRUNC(MOD(MOD(F35,100),10),0)+1),""),IF(MOD(F35,100)&gt;=1," "&amp;INDEX(numbers,TRUNC(MOD(F35,100),0)+1),""))&amp;"") &amp; " and " &amp; IF(MOD(F35,1)&lt;0.005,"NO",ROUND(MOD(F35,1)*100,0)) &amp; "/100 -----------")</f>
        <v xml:space="preserve"> Three Hundred Seventy-One and NO/100 -----------</v>
      </c>
      <c r="C37" s="231"/>
      <c r="D37" s="231"/>
      <c r="E37" s="231"/>
      <c r="F37" s="231"/>
    </row>
    <row r="38" spans="1:7" ht="12.75" customHeight="1">
      <c r="A38" s="232"/>
    </row>
    <row r="39" spans="1:7" ht="27" customHeight="1">
      <c r="A39" s="131" t="s">
        <v>10</v>
      </c>
      <c r="B39" s="131"/>
      <c r="C39" s="131"/>
      <c r="D39" s="283" t="s">
        <v>2894</v>
      </c>
      <c r="E39" s="284"/>
      <c r="F39" s="285"/>
    </row>
    <row r="40" spans="1:7" ht="12.75" customHeight="1">
      <c r="A40" s="131"/>
      <c r="B40" s="131"/>
      <c r="C40" s="131"/>
      <c r="D40" s="131"/>
      <c r="E40" s="131"/>
      <c r="F40" s="131"/>
    </row>
    <row r="41" spans="1:7" ht="12.75" customHeight="1">
      <c r="A41" s="131"/>
      <c r="B41" s="131"/>
      <c r="C41" s="131"/>
      <c r="D41" s="131"/>
      <c r="E41" s="131"/>
      <c r="F41" s="131"/>
    </row>
    <row r="42" spans="1:7">
      <c r="A42" s="301"/>
      <c r="B42" s="131"/>
      <c r="C42" s="131"/>
      <c r="D42" s="291"/>
      <c r="E42" s="291"/>
      <c r="F42" s="291"/>
    </row>
    <row r="43" spans="1:7">
      <c r="A43" s="248"/>
      <c r="B43" s="142"/>
      <c r="C43" s="131"/>
      <c r="D43" s="286"/>
      <c r="E43" s="287"/>
      <c r="F43" s="287"/>
    </row>
    <row r="44" spans="1:7" ht="12.75" customHeight="1">
      <c r="A44" s="301"/>
      <c r="B44" s="301"/>
      <c r="C44" s="131"/>
      <c r="D44" s="131"/>
      <c r="E44" s="131"/>
      <c r="F44" s="144"/>
    </row>
    <row r="45" spans="1:7" ht="12.75" customHeight="1">
      <c r="A45" s="301"/>
      <c r="B45" s="301"/>
      <c r="C45" s="131"/>
      <c r="D45" s="131"/>
      <c r="E45" s="131"/>
      <c r="F45" s="144"/>
    </row>
    <row r="46" spans="1:7" ht="12.75" customHeight="1">
      <c r="A46" s="143" t="s">
        <v>8</v>
      </c>
      <c r="B46" s="131"/>
      <c r="C46" s="131"/>
      <c r="D46" s="131"/>
      <c r="E46" s="131"/>
      <c r="F46" s="131"/>
    </row>
    <row r="47" spans="1:7" ht="12.75" customHeight="1">
      <c r="A47" s="301"/>
      <c r="B47" s="131"/>
      <c r="C47" s="131"/>
      <c r="D47" s="143" t="s">
        <v>7</v>
      </c>
      <c r="E47" s="131"/>
      <c r="F47" s="131"/>
    </row>
    <row r="48" spans="1:7" ht="12.75" customHeight="1">
      <c r="A48" s="143"/>
      <c r="B48" s="131"/>
      <c r="C48" s="131"/>
      <c r="D48" s="131"/>
      <c r="E48" s="131"/>
      <c r="F48" s="131"/>
    </row>
    <row r="49" spans="1:6" ht="12.75" customHeight="1">
      <c r="A49" s="143"/>
      <c r="B49" s="131"/>
      <c r="C49" s="131"/>
      <c r="D49" s="131"/>
      <c r="E49" s="131"/>
      <c r="F49" s="131"/>
    </row>
    <row r="50" spans="1:6" s="211" customFormat="1" ht="12.75" customHeight="1">
      <c r="A50" s="143"/>
      <c r="B50" s="131"/>
      <c r="C50" s="131"/>
      <c r="D50" s="131"/>
      <c r="E50" s="147"/>
      <c r="F50" s="147"/>
    </row>
    <row r="51" spans="1:6" ht="12.75" customHeight="1">
      <c r="A51" s="248"/>
      <c r="B51" s="142"/>
      <c r="C51" s="131"/>
      <c r="D51" s="142"/>
      <c r="E51" s="142"/>
      <c r="F51" s="142"/>
    </row>
    <row r="52" spans="1:6" ht="15" customHeight="1">
      <c r="A52" s="143" t="s">
        <v>2948</v>
      </c>
      <c r="B52" s="146"/>
      <c r="C52" s="147"/>
      <c r="D52" s="147" t="s">
        <v>3</v>
      </c>
      <c r="E52" s="131"/>
      <c r="F52" s="131"/>
    </row>
    <row r="53" spans="1:6" ht="12.75" customHeight="1">
      <c r="A53" s="143"/>
      <c r="B53" s="131"/>
      <c r="C53" s="131"/>
      <c r="D53" s="131" t="s">
        <v>2</v>
      </c>
      <c r="E53" s="131"/>
      <c r="F53" s="131"/>
    </row>
    <row r="54" spans="1:6" ht="12.75" customHeight="1">
      <c r="A54" s="131"/>
      <c r="B54" s="131"/>
      <c r="C54" s="131"/>
      <c r="D54" s="131"/>
      <c r="E54" s="131"/>
      <c r="F54" s="131"/>
    </row>
    <row r="55" spans="1:6" ht="12.75" customHeight="1">
      <c r="A55" s="131"/>
      <c r="B55" s="131"/>
      <c r="C55" s="131"/>
      <c r="D55" s="110" t="s">
        <v>1</v>
      </c>
      <c r="E55" s="131"/>
      <c r="F55" s="131"/>
    </row>
    <row r="56" spans="1:6" ht="12.75" customHeight="1">
      <c r="A56" s="131"/>
      <c r="B56" s="131"/>
      <c r="C56" s="131"/>
      <c r="D56" s="110" t="s">
        <v>0</v>
      </c>
      <c r="E56" s="131"/>
      <c r="F56" s="131"/>
    </row>
    <row r="57" spans="1:6" ht="12.75" customHeight="1">
      <c r="A57" s="131"/>
      <c r="B57" s="131"/>
      <c r="C57" s="131"/>
      <c r="D57" s="131"/>
      <c r="E57" s="131"/>
      <c r="F57" s="131"/>
    </row>
    <row r="58" spans="1:6" ht="12.75" customHeight="1">
      <c r="A58" s="131"/>
      <c r="B58" s="131"/>
      <c r="C58" s="131"/>
      <c r="D58" s="131"/>
      <c r="E58" s="131"/>
      <c r="F58" s="131"/>
    </row>
    <row r="59" spans="1:6">
      <c r="A59" s="131"/>
      <c r="B59" s="131"/>
      <c r="C59" s="131"/>
      <c r="D59" s="131"/>
      <c r="E59" s="131"/>
      <c r="F59" s="131"/>
    </row>
    <row r="60" spans="1:6">
      <c r="A60" s="131"/>
      <c r="B60" s="131"/>
      <c r="C60" s="131"/>
      <c r="D60" s="131"/>
      <c r="E60" s="131"/>
      <c r="F60" s="131"/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30">
    <pageSetUpPr fitToPage="1"/>
  </sheetPr>
  <dimension ref="A1:G53"/>
  <sheetViews>
    <sheetView view="pageBreakPreview" zoomScaleSheetLayoutView="100" workbookViewId="0">
      <selection activeCell="G9" sqref="G9:G13"/>
    </sheetView>
  </sheetViews>
  <sheetFormatPr defaultRowHeight="12.75"/>
  <cols>
    <col min="1" max="1" width="16" style="111" customWidth="1"/>
    <col min="2" max="2" width="12.7109375" style="111" customWidth="1"/>
    <col min="3" max="3" width="0.7109375" style="111" customWidth="1"/>
    <col min="4" max="4" width="23" style="111" customWidth="1"/>
    <col min="5" max="5" width="13.42578125" style="111" customWidth="1"/>
    <col min="6" max="6" width="9.5703125" style="111" customWidth="1"/>
    <col min="7" max="7" width="15.28515625" style="111" customWidth="1"/>
    <col min="8" max="14" width="9.140625" style="111"/>
    <col min="15" max="15" width="9.7109375" style="111" bestFit="1" customWidth="1"/>
    <col min="16" max="16384" width="9.140625" style="111"/>
  </cols>
  <sheetData>
    <row r="1" spans="1:7" ht="15">
      <c r="A1" s="528" t="s">
        <v>26</v>
      </c>
      <c r="B1" s="528"/>
      <c r="C1" s="528"/>
      <c r="D1" s="528"/>
      <c r="E1" s="528"/>
      <c r="F1" s="528"/>
      <c r="G1" s="528"/>
    </row>
    <row r="2" spans="1:7">
      <c r="A2" s="530" t="s">
        <v>25</v>
      </c>
      <c r="B2" s="530"/>
      <c r="C2" s="530"/>
      <c r="D2" s="530"/>
      <c r="E2" s="530"/>
      <c r="F2" s="530"/>
      <c r="G2" s="530"/>
    </row>
    <row r="3" spans="1:7">
      <c r="A3" s="530" t="s">
        <v>1480</v>
      </c>
      <c r="B3" s="530"/>
      <c r="C3" s="530"/>
      <c r="D3" s="530"/>
      <c r="E3" s="530"/>
      <c r="F3" s="530"/>
      <c r="G3" s="530"/>
    </row>
    <row r="4" spans="1:7">
      <c r="A4" s="530" t="s">
        <v>1481</v>
      </c>
      <c r="B4" s="530"/>
      <c r="C4" s="530"/>
      <c r="D4" s="530"/>
      <c r="E4" s="530"/>
      <c r="F4" s="530"/>
      <c r="G4" s="530"/>
    </row>
    <row r="8" spans="1:7">
      <c r="A8" s="111" t="s">
        <v>24</v>
      </c>
      <c r="E8" s="22" t="s">
        <v>23</v>
      </c>
    </row>
    <row r="9" spans="1:7">
      <c r="E9" s="112" t="s">
        <v>1134</v>
      </c>
      <c r="F9" s="111" t="s">
        <v>3852</v>
      </c>
    </row>
    <row r="10" spans="1:7">
      <c r="A10" s="111" t="s">
        <v>3853</v>
      </c>
      <c r="E10" s="112" t="s">
        <v>1162</v>
      </c>
      <c r="F10" s="112" t="s">
        <v>3848</v>
      </c>
    </row>
    <row r="11" spans="1:7">
      <c r="A11" s="111" t="s">
        <v>3854</v>
      </c>
      <c r="E11" s="112" t="s">
        <v>1163</v>
      </c>
      <c r="F11" s="112" t="s">
        <v>2023</v>
      </c>
    </row>
    <row r="12" spans="1:7">
      <c r="A12" s="111" t="s">
        <v>3855</v>
      </c>
      <c r="E12" s="112" t="s">
        <v>1135</v>
      </c>
      <c r="F12" s="112" t="s">
        <v>1270</v>
      </c>
    </row>
    <row r="13" spans="1:7">
      <c r="A13" s="111" t="s">
        <v>3856</v>
      </c>
    </row>
    <row r="16" spans="1:7" s="15" customFormat="1" ht="20.100000000000001" customHeight="1">
      <c r="A16" s="18" t="s">
        <v>1140</v>
      </c>
      <c r="B16" s="129" t="s">
        <v>1098</v>
      </c>
      <c r="C16" s="129"/>
      <c r="D16" s="19" t="s">
        <v>14</v>
      </c>
      <c r="E16" s="18"/>
      <c r="F16" s="17"/>
      <c r="G16" s="16" t="s">
        <v>13</v>
      </c>
    </row>
    <row r="18" spans="1:7">
      <c r="D18" s="2" t="s">
        <v>3857</v>
      </c>
    </row>
    <row r="19" spans="1:7">
      <c r="A19" s="161"/>
      <c r="B19" s="116"/>
      <c r="C19" s="116"/>
      <c r="D19" s="2"/>
    </row>
    <row r="20" spans="1:7">
      <c r="A20" s="116" t="s">
        <v>3795</v>
      </c>
      <c r="B20" s="116" t="s">
        <v>3858</v>
      </c>
      <c r="C20" s="116"/>
      <c r="D20" s="111" t="s">
        <v>3859</v>
      </c>
      <c r="G20" s="111">
        <f>55000*0.5435</f>
        <v>29892.5</v>
      </c>
    </row>
    <row r="21" spans="1:7">
      <c r="A21" s="116"/>
      <c r="B21" s="121"/>
      <c r="C21" s="121"/>
      <c r="D21" s="111" t="s">
        <v>3860</v>
      </c>
    </row>
    <row r="22" spans="1:7">
      <c r="B22" s="121"/>
      <c r="C22" s="121"/>
    </row>
    <row r="23" spans="1:7">
      <c r="D23" s="111" t="s">
        <v>2831</v>
      </c>
      <c r="G23" s="111">
        <v>30</v>
      </c>
    </row>
    <row r="25" spans="1:7">
      <c r="D25" s="111" t="s">
        <v>3861</v>
      </c>
      <c r="G25" s="111">
        <v>1.8</v>
      </c>
    </row>
    <row r="29" spans="1:7">
      <c r="A29" s="120"/>
    </row>
    <row r="30" spans="1:7">
      <c r="A30" s="116"/>
      <c r="B30" s="121"/>
      <c r="C30" s="121"/>
    </row>
    <row r="31" spans="1:7">
      <c r="B31" s="120"/>
      <c r="C31" s="120"/>
    </row>
    <row r="32" spans="1:7">
      <c r="B32" s="120"/>
      <c r="C32" s="120"/>
    </row>
    <row r="34" spans="1:7" ht="13.5" thickBot="1">
      <c r="G34" s="127">
        <f>SUM(G19:G33)</f>
        <v>29924.3</v>
      </c>
    </row>
    <row r="35" spans="1:7" ht="13.5" thickTop="1"/>
    <row r="36" spans="1:7" ht="20.100000000000001" customHeight="1">
      <c r="A36" s="118" t="s">
        <v>1133</v>
      </c>
      <c r="B36" s="202" t="str">
        <f>IF(OR(G34&gt;1000000,G34&lt;=0),"",IF(G34&lt;1000,"",IF(MOD(G34,1000000)&gt;=100000,INDEX(numbers,TRUNC(MOD(G34,1000000)/100000,0)+1)&amp;" Hundred","")&amp;IF(MOD(G34,100000)&gt;=20000," "&amp;INDEX(tens,TRUNC(MOD(G34,100000)/10000,0)+1)&amp;IF(MOD(MOD(G34,100000),10000)&gt;=1000,"-"&amp;INDEX(numbers,TRUNC(MOD(MOD(G34,100000),10000)/1000,0)+1),""),IF(MOD(G34,100000)&gt;=1000," "&amp;INDEX(numbers,TRUNC(MOD(G34,100000)/1000,0)+1),""))&amp;" Thousand") &amp; IF(G34&lt;1,"Zero Dollars",IF(MOD(G34,1000)&gt;=100," "&amp;INDEX(numbers,TRUNC(MOD(G34,1000)/100,0)+1)&amp;" Hundred","")&amp;IF(MOD(G34,100)&gt;=20," "&amp;INDEX(tens,TRUNC(MOD(G34,100)/10,0)+1)&amp;IF(MOD(MOD(G34,100),10)&gt;=1,"-"&amp;INDEX(numbers,TRUNC(MOD(MOD(G34,100),10),0)+1),""),IF(MOD(G34,100)&gt;=1," "&amp;INDEX(numbers,TRUNC(MOD(G34,100),0)+1),""))&amp;"") &amp; " and " &amp; IF(MOD(G34,1)&lt;0.005,"NO",ROUND(MOD(G34,1)*100,0)) &amp; "/100 -----------")</f>
        <v xml:space="preserve"> Twenty-Nine Thousand Nine Hundred Twenty-Four and 30/100 -----------</v>
      </c>
      <c r="C36" s="202"/>
      <c r="D36" s="119"/>
      <c r="E36" s="119"/>
      <c r="F36" s="119"/>
      <c r="G36" s="261"/>
    </row>
    <row r="37" spans="1:7">
      <c r="A37" s="120"/>
    </row>
    <row r="38" spans="1:7">
      <c r="A38" s="123" t="s">
        <v>10</v>
      </c>
    </row>
    <row r="39" spans="1:7" ht="25.5">
      <c r="A39" s="126"/>
      <c r="E39" s="265" t="s">
        <v>2894</v>
      </c>
      <c r="F39" s="266"/>
      <c r="G39" s="267"/>
    </row>
    <row r="40" spans="1:7">
      <c r="A40" s="123"/>
    </row>
    <row r="41" spans="1:7">
      <c r="A41" s="123"/>
      <c r="D41" s="121"/>
    </row>
    <row r="42" spans="1:7">
      <c r="A42" s="150"/>
      <c r="B42" s="122"/>
    </row>
    <row r="44" spans="1:7">
      <c r="A44" s="123" t="s">
        <v>8</v>
      </c>
      <c r="D44" s="123" t="s">
        <v>8</v>
      </c>
      <c r="E44" s="123" t="s">
        <v>7</v>
      </c>
      <c r="G44" s="124"/>
    </row>
    <row r="45" spans="1:7">
      <c r="A45" s="123"/>
      <c r="D45" s="123"/>
    </row>
    <row r="46" spans="1:7">
      <c r="A46" s="123"/>
      <c r="D46" s="123"/>
    </row>
    <row r="47" spans="1:7">
      <c r="A47" s="123"/>
      <c r="D47" s="123"/>
    </row>
    <row r="48" spans="1:7">
      <c r="A48" s="150"/>
      <c r="B48" s="122"/>
      <c r="D48" s="150"/>
      <c r="E48" s="122"/>
      <c r="F48" s="122"/>
      <c r="G48" s="122"/>
    </row>
    <row r="49" spans="1:5" s="126" customFormat="1" ht="17.100000000000001" customHeight="1">
      <c r="A49" s="151" t="s">
        <v>2948</v>
      </c>
      <c r="B49" s="125"/>
      <c r="C49" s="125"/>
      <c r="D49" s="151" t="s">
        <v>103</v>
      </c>
      <c r="E49" s="126" t="s">
        <v>3</v>
      </c>
    </row>
    <row r="50" spans="1:5">
      <c r="A50" s="151"/>
      <c r="E50" s="111" t="s">
        <v>2</v>
      </c>
    </row>
    <row r="51" spans="1:5">
      <c r="A51" s="123"/>
    </row>
    <row r="52" spans="1:5">
      <c r="E52" s="2" t="s">
        <v>1</v>
      </c>
    </row>
    <row r="53" spans="1:5">
      <c r="E53" s="2" t="s">
        <v>0</v>
      </c>
    </row>
  </sheetData>
  <mergeCells count="4">
    <mergeCell ref="A1:G1"/>
    <mergeCell ref="A2:G2"/>
    <mergeCell ref="A3:G3"/>
    <mergeCell ref="A4:G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7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331">
    <pageSetUpPr fitToPage="1"/>
  </sheetPr>
  <dimension ref="A1:O57"/>
  <sheetViews>
    <sheetView view="pageBreakPreview" topLeftCell="A4" zoomScaleNormal="100" zoomScaleSheetLayoutView="100" workbookViewId="0">
      <selection activeCell="H36" sqref="H36"/>
    </sheetView>
  </sheetViews>
  <sheetFormatPr defaultRowHeight="12.75"/>
  <cols>
    <col min="1" max="1" width="16.140625" style="86" customWidth="1"/>
    <col min="2" max="2" width="12.5703125" style="86" customWidth="1"/>
    <col min="3" max="3" width="0.7109375" style="86" customWidth="1"/>
    <col min="4" max="4" width="23" style="86" customWidth="1"/>
    <col min="5" max="5" width="0.7109375" style="86" customWidth="1"/>
    <col min="6" max="6" width="13.85546875" style="86" customWidth="1"/>
    <col min="7" max="7" width="9" style="86" customWidth="1"/>
    <col min="8" max="8" width="12.85546875" style="86" customWidth="1"/>
    <col min="9" max="16384" width="9.140625" style="86"/>
  </cols>
  <sheetData>
    <row r="1" spans="1:15" ht="15">
      <c r="A1" s="531" t="s">
        <v>26</v>
      </c>
      <c r="B1" s="531"/>
      <c r="C1" s="531"/>
      <c r="D1" s="531"/>
      <c r="E1" s="531"/>
      <c r="F1" s="531"/>
      <c r="G1" s="531"/>
      <c r="H1" s="531"/>
    </row>
    <row r="2" spans="1:15">
      <c r="A2" s="532" t="s">
        <v>25</v>
      </c>
      <c r="B2" s="532"/>
      <c r="C2" s="532"/>
      <c r="D2" s="532"/>
      <c r="E2" s="532"/>
      <c r="F2" s="532"/>
      <c r="G2" s="532"/>
      <c r="H2" s="532"/>
    </row>
    <row r="3" spans="1:15">
      <c r="A3" s="532" t="s">
        <v>1480</v>
      </c>
      <c r="B3" s="532"/>
      <c r="C3" s="532"/>
      <c r="D3" s="532"/>
      <c r="E3" s="532"/>
      <c r="F3" s="532"/>
      <c r="G3" s="532"/>
      <c r="H3" s="532"/>
    </row>
    <row r="4" spans="1:15">
      <c r="A4" s="532" t="s">
        <v>1481</v>
      </c>
      <c r="B4" s="532"/>
      <c r="C4" s="532"/>
      <c r="D4" s="532"/>
      <c r="E4" s="532"/>
      <c r="F4" s="532"/>
      <c r="G4" s="532"/>
      <c r="H4" s="532"/>
    </row>
    <row r="8" spans="1:15">
      <c r="A8" s="131" t="s">
        <v>24</v>
      </c>
      <c r="B8" s="131"/>
      <c r="C8" s="131"/>
      <c r="D8" s="131"/>
      <c r="E8" s="131"/>
      <c r="F8" s="87" t="s">
        <v>23</v>
      </c>
      <c r="G8" s="131"/>
      <c r="H8" s="131"/>
    </row>
    <row r="9" spans="1:15">
      <c r="A9" s="131"/>
      <c r="B9" s="131"/>
      <c r="C9" s="131"/>
      <c r="D9" s="131"/>
      <c r="E9" s="131"/>
      <c r="F9" s="132" t="s">
        <v>1127</v>
      </c>
      <c r="G9" s="489" t="s">
        <v>7256</v>
      </c>
      <c r="H9" s="483"/>
    </row>
    <row r="10" spans="1:15">
      <c r="A10" s="131" t="s">
        <v>1565</v>
      </c>
      <c r="B10" s="131"/>
      <c r="C10" s="131"/>
      <c r="D10" s="131"/>
      <c r="E10" s="131"/>
      <c r="F10" s="132" t="s">
        <v>1162</v>
      </c>
      <c r="G10" s="489" t="s">
        <v>7255</v>
      </c>
      <c r="H10" s="483"/>
    </row>
    <row r="11" spans="1:15">
      <c r="A11" s="131" t="s">
        <v>1566</v>
      </c>
      <c r="B11" s="131"/>
      <c r="C11" s="131"/>
      <c r="D11" s="131"/>
      <c r="E11" s="131"/>
      <c r="F11" s="132" t="s">
        <v>1163</v>
      </c>
      <c r="G11" s="489" t="s">
        <v>1094</v>
      </c>
      <c r="H11" s="483"/>
    </row>
    <row r="12" spans="1:15">
      <c r="A12" s="131" t="s">
        <v>1149</v>
      </c>
      <c r="B12" s="131"/>
      <c r="C12" s="131"/>
      <c r="D12" s="131"/>
      <c r="E12" s="131"/>
      <c r="F12" s="132" t="s">
        <v>1135</v>
      </c>
      <c r="G12" s="486" t="s">
        <v>7257</v>
      </c>
      <c r="H12" s="483"/>
    </row>
    <row r="13" spans="1:15">
      <c r="A13" s="131" t="s">
        <v>1567</v>
      </c>
      <c r="B13" s="131"/>
      <c r="C13" s="131"/>
      <c r="D13" s="131"/>
      <c r="E13" s="131"/>
      <c r="F13" s="131"/>
      <c r="G13" s="488" t="s">
        <v>5914</v>
      </c>
      <c r="H13" s="483"/>
    </row>
    <row r="14" spans="1:15">
      <c r="A14" s="131" t="s">
        <v>1568</v>
      </c>
      <c r="B14" s="131"/>
      <c r="C14" s="131"/>
      <c r="D14" s="131"/>
      <c r="E14" s="131"/>
      <c r="F14" s="131"/>
      <c r="G14" s="483"/>
      <c r="H14" s="483"/>
    </row>
    <row r="15" spans="1:15">
      <c r="A15" s="131"/>
      <c r="B15" s="131"/>
      <c r="C15" s="131"/>
      <c r="D15" s="131"/>
      <c r="E15" s="131"/>
      <c r="F15" s="131"/>
      <c r="G15" s="131"/>
      <c r="H15" s="131"/>
    </row>
    <row r="16" spans="1:15" s="95" customFormat="1" ht="20.100000000000001" customHeight="1">
      <c r="A16" s="90" t="s">
        <v>1122</v>
      </c>
      <c r="B16" s="90" t="s">
        <v>1132</v>
      </c>
      <c r="C16" s="90"/>
      <c r="D16" s="92" t="s">
        <v>14</v>
      </c>
      <c r="E16" s="92"/>
      <c r="F16" s="90"/>
      <c r="G16" s="93"/>
      <c r="H16" s="94" t="s">
        <v>13</v>
      </c>
      <c r="J16" s="86"/>
      <c r="K16" s="86"/>
      <c r="L16" s="110" t="s">
        <v>3271</v>
      </c>
      <c r="M16" s="86"/>
      <c r="N16" s="86"/>
      <c r="O16" s="86"/>
    </row>
    <row r="17" spans="1:15">
      <c r="A17" s="131"/>
      <c r="B17" s="131"/>
      <c r="C17" s="131"/>
      <c r="D17" s="131"/>
      <c r="E17" s="131"/>
      <c r="F17" s="131"/>
      <c r="G17" s="131"/>
      <c r="H17" s="131"/>
    </row>
    <row r="18" spans="1:15">
      <c r="D18" s="491" t="s">
        <v>3271</v>
      </c>
      <c r="E18" s="110"/>
      <c r="J18" s="158" t="s">
        <v>3589</v>
      </c>
      <c r="K18" s="141" t="s">
        <v>3590</v>
      </c>
      <c r="L18" s="131" t="s">
        <v>3591</v>
      </c>
      <c r="O18" s="131">
        <v>296.60000000000002</v>
      </c>
    </row>
    <row r="19" spans="1:15">
      <c r="J19" s="158"/>
      <c r="K19" s="141"/>
      <c r="L19" s="131"/>
      <c r="O19" s="131"/>
    </row>
    <row r="20" spans="1:15">
      <c r="A20" s="492" t="s">
        <v>7261</v>
      </c>
      <c r="B20" s="492" t="s">
        <v>7262</v>
      </c>
      <c r="C20" s="158"/>
      <c r="D20" s="131" t="s">
        <v>7263</v>
      </c>
      <c r="E20" s="131"/>
      <c r="H20" s="131">
        <v>177.5</v>
      </c>
      <c r="J20" s="158"/>
      <c r="K20" s="141"/>
      <c r="L20" s="131" t="s">
        <v>1814</v>
      </c>
      <c r="M20" s="131"/>
      <c r="N20" s="131"/>
      <c r="O20" s="131">
        <f>O18*6%</f>
        <v>17.795999999999999</v>
      </c>
    </row>
    <row r="21" spans="1:15">
      <c r="A21" s="158"/>
      <c r="B21" s="141"/>
      <c r="C21" s="141"/>
      <c r="D21" s="131"/>
      <c r="E21" s="131"/>
      <c r="H21" s="131"/>
      <c r="J21" s="158"/>
      <c r="K21" s="141"/>
      <c r="L21" s="131"/>
      <c r="M21" s="131"/>
      <c r="N21" s="131"/>
      <c r="O21" s="131"/>
    </row>
    <row r="22" spans="1:15">
      <c r="A22" s="158"/>
      <c r="B22" s="141"/>
      <c r="C22" s="141"/>
      <c r="D22" s="131"/>
      <c r="E22" s="131"/>
      <c r="F22" s="131"/>
      <c r="G22" s="131"/>
      <c r="H22" s="131"/>
    </row>
    <row r="23" spans="1:15">
      <c r="A23" s="492"/>
      <c r="B23" s="141"/>
      <c r="C23" s="141"/>
      <c r="D23" s="488"/>
      <c r="E23" s="488"/>
      <c r="F23" s="488"/>
      <c r="G23" s="488"/>
      <c r="H23" s="488"/>
    </row>
    <row r="24" spans="1:15">
      <c r="A24" s="158"/>
      <c r="B24" s="141"/>
      <c r="C24" s="141"/>
      <c r="D24" s="131"/>
      <c r="E24" s="131"/>
      <c r="F24" s="131"/>
      <c r="G24" s="131"/>
      <c r="H24" s="131"/>
    </row>
    <row r="25" spans="1:15">
      <c r="A25" s="492"/>
      <c r="B25" s="141"/>
      <c r="C25" s="141"/>
      <c r="D25" s="488"/>
      <c r="E25" s="488"/>
      <c r="F25" s="488"/>
      <c r="G25" s="488"/>
      <c r="H25" s="488"/>
    </row>
    <row r="26" spans="1:15">
      <c r="A26" s="492"/>
      <c r="B26" s="141"/>
      <c r="C26" s="141"/>
      <c r="D26" s="488"/>
      <c r="E26" s="488"/>
      <c r="F26" s="488"/>
      <c r="G26" s="488"/>
      <c r="H26" s="488"/>
    </row>
    <row r="27" spans="1:15">
      <c r="A27" s="158"/>
      <c r="B27" s="141"/>
      <c r="C27" s="141"/>
      <c r="D27" s="131"/>
      <c r="E27" s="131"/>
      <c r="H27" s="131"/>
    </row>
    <row r="28" spans="1:15">
      <c r="A28" s="158"/>
      <c r="B28" s="141"/>
      <c r="C28" s="141"/>
      <c r="D28" s="131"/>
      <c r="E28" s="131"/>
      <c r="H28" s="131"/>
    </row>
    <row r="29" spans="1:15">
      <c r="A29" s="158"/>
      <c r="B29" s="141"/>
      <c r="C29" s="141"/>
      <c r="D29" s="131"/>
      <c r="E29" s="131"/>
      <c r="F29" s="131"/>
      <c r="G29" s="131"/>
      <c r="H29" s="131"/>
    </row>
    <row r="30" spans="1:15">
      <c r="A30" s="158"/>
      <c r="B30" s="158"/>
      <c r="C30" s="158"/>
      <c r="D30" s="131"/>
      <c r="E30" s="131"/>
      <c r="F30" s="131"/>
      <c r="G30" s="131"/>
      <c r="H30" s="131"/>
    </row>
    <row r="31" spans="1:15">
      <c r="A31" s="158"/>
      <c r="B31" s="141"/>
      <c r="C31" s="141"/>
      <c r="D31" s="131"/>
      <c r="E31" s="131"/>
      <c r="F31" s="131"/>
      <c r="G31" s="131"/>
      <c r="H31" s="131"/>
    </row>
    <row r="32" spans="1:15">
      <c r="A32" s="158"/>
      <c r="B32" s="140"/>
      <c r="C32" s="140"/>
      <c r="D32" s="110"/>
      <c r="E32" s="110"/>
      <c r="F32" s="131"/>
      <c r="G32" s="131"/>
      <c r="H32" s="131"/>
    </row>
    <row r="33" spans="1:8">
      <c r="B33" s="140"/>
      <c r="C33" s="140"/>
      <c r="D33" s="131"/>
      <c r="E33" s="131"/>
      <c r="F33" s="131"/>
      <c r="G33" s="131"/>
      <c r="H33" s="131"/>
    </row>
    <row r="34" spans="1:8">
      <c r="A34" s="158"/>
      <c r="B34" s="158"/>
      <c r="C34" s="158"/>
      <c r="D34" s="131"/>
      <c r="E34" s="131"/>
      <c r="F34" s="131"/>
      <c r="G34" s="131"/>
      <c r="H34" s="131"/>
    </row>
    <row r="35" spans="1:8">
      <c r="A35" s="131"/>
      <c r="B35" s="131"/>
      <c r="C35" s="131"/>
      <c r="D35" s="131"/>
      <c r="E35" s="131"/>
      <c r="F35" s="131"/>
      <c r="G35" s="131"/>
    </row>
    <row r="36" spans="1:8" ht="13.5" thickBot="1">
      <c r="A36" s="131"/>
      <c r="B36" s="131"/>
      <c r="C36" s="131"/>
      <c r="D36" s="131"/>
      <c r="E36" s="131"/>
      <c r="F36" s="131"/>
      <c r="G36" s="131"/>
      <c r="H36" s="137">
        <f>SUM(H20:H35)</f>
        <v>177.5</v>
      </c>
    </row>
    <row r="37" spans="1:8" ht="13.5" thickTop="1">
      <c r="A37" s="131"/>
      <c r="B37" s="131"/>
      <c r="C37" s="131"/>
      <c r="D37" s="131"/>
      <c r="E37" s="131"/>
      <c r="F37" s="131"/>
      <c r="G37" s="131"/>
      <c r="H37" s="131"/>
    </row>
    <row r="38" spans="1:8" ht="20.100000000000001" customHeight="1">
      <c r="A38" s="138" t="s">
        <v>1133</v>
      </c>
      <c r="B38" s="204" t="str">
        <f>IF(OR(H36&gt;1000000,H36&lt;=0),"",IF(H36&lt;1000,"",IF(MOD(H36,1000000)&gt;=100000,INDEX(numbers,TRUNC(MOD(H36,1000000)/100000,0)+1)&amp;" Hundred","")&amp;IF(MOD(H36,100000)&gt;=20000," "&amp;INDEX(tens,TRUNC(MOD(H36,100000)/10000,0)+1)&amp;IF(MOD(MOD(H36,100000),10000)&gt;=1000,"-"&amp;INDEX(numbers,TRUNC(MOD(MOD(H36,100000),10000)/1000,0)+1),""),IF(MOD(H36,100000)&gt;=1000," "&amp;INDEX(numbers,TRUNC(MOD(H36,100000)/1000,0)+1),""))&amp;" Thousand") &amp; IF(H36&lt;1,"Zero Dollars",IF(MOD(H36,1000)&gt;=100," "&amp;INDEX(numbers,TRUNC(MOD(H36,1000)/100,0)+1)&amp;" Hundred","")&amp;IF(MOD(H36,100)&gt;=20," "&amp;INDEX(tens,TRUNC(MOD(H36,100)/10,0)+1)&amp;IF(MOD(MOD(H36,100),10)&gt;=1,"-"&amp;INDEX(numbers,TRUNC(MOD(MOD(H36,100),10),0)+1),""),IF(MOD(H36,100)&gt;=1," "&amp;INDEX(numbers,TRUNC(MOD(H36,100),0)+1),""))&amp;"") &amp; " and " &amp; IF(MOD(H36,1)&lt;0.005,"NO",ROUND(MOD(H36,1)*100,0)) &amp; "/100 -----------")</f>
        <v xml:space="preserve"> One Hundred Seventy-Seven and 50/100 -----------</v>
      </c>
      <c r="C38" s="204"/>
      <c r="D38" s="139"/>
      <c r="E38" s="139"/>
      <c r="F38" s="139"/>
      <c r="G38" s="139"/>
      <c r="H38" s="139"/>
    </row>
    <row r="39" spans="1:8">
      <c r="A39" s="140" t="s">
        <v>11</v>
      </c>
      <c r="B39" s="131"/>
      <c r="C39" s="131"/>
      <c r="D39" s="131"/>
      <c r="E39" s="131"/>
      <c r="F39" s="131"/>
      <c r="G39" s="131"/>
      <c r="H39" s="131"/>
    </row>
    <row r="40" spans="1:8" ht="25.5">
      <c r="A40" s="131" t="s">
        <v>10</v>
      </c>
      <c r="B40" s="131"/>
      <c r="C40" s="131"/>
      <c r="D40" s="131"/>
      <c r="E40" s="131"/>
      <c r="F40" s="283" t="s">
        <v>2894</v>
      </c>
      <c r="G40" s="284"/>
      <c r="H40" s="285"/>
    </row>
    <row r="41" spans="1:8">
      <c r="A41" s="131"/>
      <c r="B41" s="131"/>
      <c r="C41" s="131"/>
      <c r="D41" s="131"/>
      <c r="E41" s="131"/>
      <c r="F41" s="131"/>
      <c r="G41" s="131"/>
      <c r="H41" s="131"/>
    </row>
    <row r="42" spans="1:8">
      <c r="A42" s="147"/>
      <c r="B42" s="131"/>
      <c r="C42" s="131"/>
      <c r="D42" s="131"/>
      <c r="E42" s="131"/>
    </row>
    <row r="43" spans="1:8">
      <c r="A43" s="131"/>
      <c r="B43" s="131"/>
      <c r="C43" s="131"/>
      <c r="D43" s="141"/>
      <c r="E43" s="141"/>
    </row>
    <row r="44" spans="1:8">
      <c r="A44" s="142"/>
      <c r="B44" s="142"/>
      <c r="C44" s="445"/>
      <c r="D44" s="131"/>
      <c r="E44" s="131"/>
      <c r="F44" s="131"/>
      <c r="G44" s="131"/>
      <c r="H44" s="131"/>
    </row>
    <row r="45" spans="1:8">
      <c r="B45" s="131"/>
      <c r="C45" s="131"/>
      <c r="D45" s="131"/>
      <c r="E45" s="131"/>
      <c r="F45" s="131"/>
      <c r="G45" s="131"/>
      <c r="H45" s="131"/>
    </row>
    <row r="46" spans="1:8">
      <c r="A46" s="143" t="s">
        <v>8</v>
      </c>
      <c r="D46" s="143" t="s">
        <v>8</v>
      </c>
      <c r="E46" s="131"/>
      <c r="F46" s="143" t="s">
        <v>7</v>
      </c>
      <c r="G46" s="131"/>
      <c r="H46" s="144"/>
    </row>
    <row r="47" spans="1:8">
      <c r="A47" s="131"/>
      <c r="B47" s="131"/>
      <c r="C47" s="131"/>
      <c r="D47" s="131"/>
      <c r="E47" s="131"/>
      <c r="F47" s="131"/>
      <c r="G47" s="131"/>
      <c r="H47" s="131"/>
    </row>
    <row r="48" spans="1:8">
      <c r="A48" s="131"/>
      <c r="B48" s="131"/>
      <c r="C48" s="131"/>
      <c r="D48" s="131"/>
      <c r="E48" s="131"/>
      <c r="F48" s="131"/>
      <c r="G48" s="131"/>
      <c r="H48" s="131"/>
    </row>
    <row r="49" spans="1:8">
      <c r="A49" s="131"/>
      <c r="B49" s="131"/>
      <c r="C49" s="131"/>
      <c r="D49" s="131"/>
      <c r="E49" s="131"/>
      <c r="F49" s="131"/>
      <c r="G49" s="131"/>
      <c r="H49" s="131"/>
    </row>
    <row r="50" spans="1:8">
      <c r="A50" s="142"/>
      <c r="B50" s="142"/>
      <c r="C50" s="445"/>
      <c r="D50" s="142"/>
      <c r="E50" s="131"/>
      <c r="F50" s="142"/>
      <c r="G50" s="142"/>
      <c r="H50" s="142"/>
    </row>
    <row r="51" spans="1:8" s="109" customFormat="1" ht="17.100000000000001" customHeight="1">
      <c r="A51" s="145" t="s">
        <v>2948</v>
      </c>
      <c r="B51" s="146"/>
      <c r="C51" s="146"/>
      <c r="D51" s="145" t="s">
        <v>103</v>
      </c>
      <c r="E51" s="147"/>
      <c r="F51" s="147" t="s">
        <v>3</v>
      </c>
      <c r="G51" s="147"/>
      <c r="H51" s="147"/>
    </row>
    <row r="52" spans="1:8">
      <c r="A52" s="131"/>
      <c r="B52" s="131"/>
      <c r="C52" s="131"/>
      <c r="D52" s="131"/>
      <c r="E52" s="131"/>
      <c r="F52" s="131" t="s">
        <v>2</v>
      </c>
      <c r="G52" s="131"/>
      <c r="H52" s="131"/>
    </row>
    <row r="53" spans="1:8">
      <c r="A53" s="145"/>
      <c r="B53" s="131"/>
      <c r="C53" s="131"/>
      <c r="D53" s="131"/>
      <c r="E53" s="131"/>
      <c r="F53" s="131"/>
      <c r="G53" s="131"/>
      <c r="H53" s="131"/>
    </row>
    <row r="54" spans="1:8">
      <c r="A54" s="131"/>
      <c r="B54" s="131"/>
      <c r="C54" s="131"/>
      <c r="D54" s="131"/>
      <c r="E54" s="131"/>
      <c r="F54" s="110" t="s">
        <v>1</v>
      </c>
      <c r="G54" s="131"/>
      <c r="H54" s="131"/>
    </row>
    <row r="55" spans="1:8">
      <c r="A55" s="131"/>
      <c r="B55" s="131"/>
      <c r="C55" s="131"/>
      <c r="D55" s="131"/>
      <c r="E55" s="131"/>
      <c r="F55" s="110" t="s">
        <v>0</v>
      </c>
      <c r="G55" s="131"/>
      <c r="H55" s="131"/>
    </row>
    <row r="56" spans="1:8">
      <c r="A56" s="131"/>
      <c r="B56" s="131"/>
      <c r="C56" s="131"/>
      <c r="D56" s="131"/>
      <c r="E56" s="131"/>
      <c r="F56" s="131"/>
      <c r="G56" s="131"/>
      <c r="H56" s="131"/>
    </row>
    <row r="57" spans="1:8">
      <c r="A57" s="131"/>
      <c r="B57" s="131"/>
      <c r="C57" s="131"/>
      <c r="D57" s="131"/>
      <c r="E57" s="131"/>
      <c r="F57" s="131"/>
      <c r="G57" s="131"/>
      <c r="H57" s="13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264"/>
  <dimension ref="A1:F53"/>
  <sheetViews>
    <sheetView workbookViewId="0">
      <selection activeCell="G9" sqref="G9:G13"/>
    </sheetView>
  </sheetViews>
  <sheetFormatPr defaultRowHeight="12.75"/>
  <cols>
    <col min="1" max="1" width="16" style="111" customWidth="1"/>
    <col min="2" max="2" width="13.42578125" style="111" customWidth="1"/>
    <col min="3" max="3" width="21" style="111" customWidth="1"/>
    <col min="4" max="4" width="12.28515625" style="111" customWidth="1"/>
    <col min="5" max="5" width="9" style="111" customWidth="1"/>
    <col min="6" max="6" width="13.28515625" style="111" customWidth="1"/>
    <col min="7" max="16384" width="9.140625" style="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1684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A9" s="111" t="s">
        <v>2378</v>
      </c>
      <c r="D9" s="112" t="s">
        <v>1110</v>
      </c>
      <c r="E9" s="111" t="s">
        <v>2377</v>
      </c>
    </row>
    <row r="10" spans="1:6">
      <c r="A10" s="111" t="s">
        <v>2379</v>
      </c>
      <c r="D10" s="112" t="s">
        <v>1685</v>
      </c>
      <c r="E10" s="112" t="s">
        <v>2355</v>
      </c>
    </row>
    <row r="11" spans="1:6">
      <c r="A11" s="111" t="s">
        <v>2380</v>
      </c>
      <c r="D11" s="112" t="s">
        <v>1163</v>
      </c>
      <c r="E11" s="112" t="s">
        <v>1094</v>
      </c>
    </row>
    <row r="12" spans="1:6">
      <c r="D12" s="112" t="s">
        <v>1188</v>
      </c>
      <c r="E12" s="112" t="s">
        <v>1270</v>
      </c>
    </row>
    <row r="16" spans="1:6" s="15" customFormat="1" ht="20.100000000000001" customHeight="1">
      <c r="A16" s="129" t="s">
        <v>1097</v>
      </c>
      <c r="B16" s="129" t="s">
        <v>1098</v>
      </c>
      <c r="C16" s="19" t="s">
        <v>14</v>
      </c>
      <c r="D16" s="18"/>
      <c r="E16" s="17"/>
      <c r="F16" s="16" t="s">
        <v>13</v>
      </c>
    </row>
    <row r="17" spans="1:6">
      <c r="A17" s="173"/>
    </row>
    <row r="18" spans="1:6">
      <c r="C18" s="2" t="s">
        <v>2383</v>
      </c>
    </row>
    <row r="19" spans="1:6">
      <c r="A19" s="173"/>
      <c r="C19" s="2"/>
    </row>
    <row r="20" spans="1:6">
      <c r="A20" s="116" t="s">
        <v>11</v>
      </c>
      <c r="B20" s="116"/>
      <c r="C20" s="111" t="s">
        <v>2381</v>
      </c>
      <c r="F20" s="111">
        <f>54000*0.431703</f>
        <v>23311.962</v>
      </c>
    </row>
    <row r="21" spans="1:6">
      <c r="A21" s="116"/>
      <c r="B21" s="120"/>
      <c r="C21" s="111" t="s">
        <v>2382</v>
      </c>
    </row>
    <row r="22" spans="1:6">
      <c r="A22" s="116"/>
      <c r="B22" s="121"/>
    </row>
    <row r="23" spans="1:6">
      <c r="C23" s="111" t="s">
        <v>1697</v>
      </c>
      <c r="F23" s="111">
        <v>30</v>
      </c>
    </row>
    <row r="25" spans="1:6">
      <c r="A25" s="174"/>
      <c r="B25" s="121"/>
      <c r="C25" s="111" t="s">
        <v>2385</v>
      </c>
    </row>
    <row r="27" spans="1:6">
      <c r="C27" s="2"/>
    </row>
    <row r="28" spans="1:6">
      <c r="C28" s="2"/>
    </row>
    <row r="29" spans="1:6">
      <c r="A29" s="116"/>
      <c r="B29" s="121"/>
    </row>
    <row r="30" spans="1:6">
      <c r="A30" s="116"/>
      <c r="B30" s="121"/>
    </row>
    <row r="31" spans="1:6">
      <c r="A31" s="121"/>
    </row>
    <row r="32" spans="1:6">
      <c r="A32" s="174"/>
      <c r="B32" s="120"/>
    </row>
    <row r="33" spans="1:6" ht="13.5" thickBot="1">
      <c r="A33" s="7"/>
      <c r="B33" s="1"/>
      <c r="C33" s="1"/>
      <c r="D33" s="1"/>
      <c r="E33" s="1"/>
      <c r="F33" s="117">
        <f>SUM(F20:F32)</f>
        <v>23341.962</v>
      </c>
    </row>
    <row r="34" spans="1:6" ht="14.25" thickTop="1" thickBot="1">
      <c r="A34" s="173"/>
      <c r="F34" s="117">
        <f>SUM(F19:F33)</f>
        <v>46683.923999999999</v>
      </c>
    </row>
    <row r="35" spans="1:6" ht="13.5" thickTop="1">
      <c r="A35" s="173"/>
    </row>
    <row r="36" spans="1:6" ht="20.100000000000001" customHeight="1">
      <c r="A36" s="118" t="s">
        <v>1686</v>
      </c>
      <c r="B36" s="202" t="s">
        <v>2384</v>
      </c>
      <c r="C36" s="119"/>
      <c r="D36" s="119"/>
      <c r="E36" s="119"/>
      <c r="F36" s="119"/>
    </row>
    <row r="37" spans="1:6">
      <c r="A37" s="120"/>
    </row>
    <row r="38" spans="1:6">
      <c r="A38" s="111" t="s">
        <v>10</v>
      </c>
    </row>
    <row r="39" spans="1:6" ht="25.5">
      <c r="A39" s="126"/>
      <c r="D39" s="265" t="s">
        <v>2894</v>
      </c>
      <c r="E39" s="266"/>
      <c r="F39" s="267"/>
    </row>
    <row r="41" spans="1:6">
      <c r="A41" s="111" t="s">
        <v>51</v>
      </c>
      <c r="C41" s="121"/>
    </row>
    <row r="42" spans="1:6">
      <c r="A42" s="122"/>
      <c r="B42" s="122"/>
    </row>
    <row r="44" spans="1:6">
      <c r="A44" s="111" t="s">
        <v>8</v>
      </c>
      <c r="D44" s="123" t="s">
        <v>7</v>
      </c>
      <c r="F44" s="124"/>
    </row>
    <row r="48" spans="1:6">
      <c r="A48" s="122" t="s">
        <v>51</v>
      </c>
      <c r="B48" s="122"/>
      <c r="D48" s="122"/>
      <c r="E48" s="122"/>
      <c r="F48" s="122"/>
    </row>
    <row r="49" spans="1:6" s="3" customFormat="1" ht="17.100000000000001" customHeight="1">
      <c r="A49" s="126" t="s">
        <v>4</v>
      </c>
      <c r="B49" s="125"/>
      <c r="C49" s="126"/>
      <c r="D49" s="126" t="s">
        <v>3</v>
      </c>
      <c r="E49" s="126"/>
      <c r="F49" s="126"/>
    </row>
    <row r="50" spans="1:6">
      <c r="A50" s="151" t="s">
        <v>2948</v>
      </c>
      <c r="D50" s="111" t="s">
        <v>2</v>
      </c>
    </row>
    <row r="52" spans="1:6">
      <c r="D52" s="2" t="s">
        <v>1</v>
      </c>
    </row>
    <row r="53" spans="1:6">
      <c r="D53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55118110236220474" right="0.55118110236220474" top="0.78740157480314965" bottom="0.98425196850393704" header="0.51181102362204722" footer="0.51181102362204722"/>
  <pageSetup paperSize="9" scale="91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169"/>
  <dimension ref="A1:H56"/>
  <sheetViews>
    <sheetView zoomScaleNormal="100" zoomScaleSheetLayoutView="10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0.5703125" style="1" customWidth="1"/>
    <col min="4" max="4" width="23" style="1" customWidth="1"/>
    <col min="5" max="5" width="0.85546875" style="1" customWidth="1"/>
    <col min="6" max="6" width="13.5703125" style="1" customWidth="1"/>
    <col min="7" max="7" width="9" style="1" customWidth="1"/>
    <col min="8" max="8" width="12.85546875" style="1" customWidth="1"/>
    <col min="9" max="16384" width="9.140625" style="1"/>
  </cols>
  <sheetData>
    <row r="1" spans="1:8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8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8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8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8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8">
      <c r="A9" s="111"/>
      <c r="B9" s="111"/>
      <c r="C9" s="111"/>
      <c r="D9" s="111"/>
      <c r="E9" s="111"/>
      <c r="F9" s="112" t="s">
        <v>1127</v>
      </c>
      <c r="G9" s="483" t="s">
        <v>7205</v>
      </c>
      <c r="H9" s="111"/>
    </row>
    <row r="10" spans="1:8">
      <c r="A10" s="111" t="s">
        <v>1410</v>
      </c>
      <c r="B10" s="111"/>
      <c r="C10" s="111"/>
      <c r="D10" s="111"/>
      <c r="E10" s="111"/>
      <c r="F10" s="112" t="s">
        <v>1162</v>
      </c>
      <c r="G10" s="484" t="s">
        <v>7191</v>
      </c>
      <c r="H10" s="111"/>
    </row>
    <row r="11" spans="1:8">
      <c r="A11" s="111"/>
      <c r="B11" s="111"/>
      <c r="C11" s="111"/>
      <c r="D11" s="111"/>
      <c r="E11" s="111"/>
      <c r="F11" s="112" t="s">
        <v>1163</v>
      </c>
      <c r="G11" s="484" t="s">
        <v>1094</v>
      </c>
      <c r="H11" s="111"/>
    </row>
    <row r="12" spans="1:8">
      <c r="A12" s="111"/>
      <c r="B12" s="111"/>
      <c r="C12" s="111"/>
      <c r="D12" s="111"/>
      <c r="E12" s="111"/>
      <c r="F12" s="112" t="s">
        <v>1096</v>
      </c>
      <c r="G12" s="484" t="s">
        <v>7206</v>
      </c>
      <c r="H12" s="111"/>
    </row>
    <row r="13" spans="1:8">
      <c r="A13" s="111"/>
      <c r="B13" s="111"/>
      <c r="C13" s="111"/>
      <c r="D13" s="111"/>
      <c r="E13" s="111"/>
      <c r="F13" s="111"/>
      <c r="G13" s="483" t="s">
        <v>7192</v>
      </c>
      <c r="H13" s="111"/>
    </row>
    <row r="14" spans="1:8">
      <c r="A14" s="111"/>
      <c r="B14" s="111"/>
      <c r="C14" s="111"/>
      <c r="D14" s="111"/>
      <c r="E14" s="111"/>
      <c r="F14" s="111"/>
      <c r="G14" s="111"/>
      <c r="H14" s="111"/>
    </row>
    <row r="15" spans="1:8">
      <c r="A15" s="111"/>
      <c r="B15" s="111"/>
      <c r="C15" s="111"/>
      <c r="D15" s="111"/>
      <c r="E15" s="111"/>
      <c r="F15" s="111"/>
      <c r="G15" s="111"/>
      <c r="H15" s="111"/>
    </row>
    <row r="16" spans="1:8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111"/>
      <c r="E18" s="111"/>
      <c r="F18" s="111"/>
      <c r="G18" s="111"/>
      <c r="H18" s="111"/>
    </row>
    <row r="19" spans="1:8">
      <c r="B19" s="116"/>
      <c r="C19" s="116"/>
      <c r="D19" s="111" t="s">
        <v>1549</v>
      </c>
      <c r="E19" s="111"/>
      <c r="F19" s="111"/>
      <c r="G19" s="111"/>
      <c r="H19" s="111"/>
    </row>
    <row r="20" spans="1:8">
      <c r="A20" s="111"/>
      <c r="B20" s="111"/>
      <c r="C20" s="111"/>
      <c r="D20" s="111"/>
      <c r="E20" s="111"/>
      <c r="F20" s="111"/>
      <c r="G20" s="111"/>
      <c r="H20" s="111"/>
    </row>
    <row r="21" spans="1:8">
      <c r="A21" s="484" t="s">
        <v>7207</v>
      </c>
      <c r="B21" s="111"/>
      <c r="C21" s="111"/>
      <c r="D21" s="111" t="s">
        <v>1899</v>
      </c>
      <c r="E21" s="111"/>
      <c r="F21" s="111"/>
      <c r="G21" s="111"/>
      <c r="H21" s="111"/>
    </row>
    <row r="22" spans="1:8">
      <c r="A22" s="112"/>
      <c r="B22" s="111"/>
      <c r="C22" s="111"/>
      <c r="D22" s="111" t="s">
        <v>1627</v>
      </c>
      <c r="E22" s="111"/>
      <c r="F22" s="111"/>
      <c r="G22" s="111"/>
      <c r="H22" s="111"/>
    </row>
    <row r="23" spans="1:8">
      <c r="A23" s="111"/>
      <c r="B23" s="111"/>
      <c r="C23" s="111"/>
      <c r="D23" s="111" t="s">
        <v>3988</v>
      </c>
      <c r="E23" s="111"/>
      <c r="F23" s="111"/>
      <c r="G23" s="111"/>
      <c r="H23" s="111">
        <v>147</v>
      </c>
    </row>
    <row r="24" spans="1:8">
      <c r="A24" s="111"/>
      <c r="B24" s="111"/>
      <c r="C24" s="111"/>
      <c r="D24" s="111" t="s">
        <v>1628</v>
      </c>
      <c r="E24" s="111"/>
      <c r="F24" s="111"/>
      <c r="G24" s="111"/>
      <c r="H24" s="111">
        <v>34.04</v>
      </c>
    </row>
    <row r="25" spans="1:8">
      <c r="A25" s="111"/>
      <c r="B25" s="111"/>
      <c r="C25" s="111"/>
      <c r="D25" s="111" t="s">
        <v>5161</v>
      </c>
      <c r="E25" s="111"/>
      <c r="F25" s="111"/>
      <c r="G25" s="111"/>
      <c r="H25" s="111">
        <v>10.86</v>
      </c>
    </row>
    <row r="26" spans="1:8">
      <c r="A26" s="111"/>
      <c r="B26" s="111"/>
      <c r="D26" s="483"/>
      <c r="H26" s="483"/>
    </row>
    <row r="27" spans="1:8">
      <c r="A27" s="111"/>
      <c r="D27" s="111"/>
      <c r="H27" s="111"/>
    </row>
    <row r="28" spans="1:8">
      <c r="A28" s="484"/>
      <c r="B28" s="483"/>
      <c r="C28" s="483"/>
      <c r="D28" s="483"/>
      <c r="E28" s="483"/>
      <c r="F28" s="483"/>
      <c r="G28" s="483"/>
      <c r="H28" s="483"/>
    </row>
    <row r="29" spans="1:8">
      <c r="A29" s="484"/>
      <c r="B29" s="483"/>
      <c r="C29" s="483"/>
      <c r="D29" s="483"/>
      <c r="E29" s="483"/>
      <c r="F29" s="483"/>
      <c r="G29" s="483"/>
      <c r="H29" s="483"/>
    </row>
    <row r="30" spans="1:8">
      <c r="A30" s="483"/>
      <c r="B30" s="483"/>
      <c r="C30" s="483"/>
      <c r="D30" s="483"/>
      <c r="E30" s="483"/>
      <c r="F30" s="483"/>
      <c r="G30" s="483"/>
      <c r="H30" s="483"/>
    </row>
    <row r="31" spans="1:8">
      <c r="A31" s="483"/>
      <c r="B31" s="483"/>
      <c r="C31" s="483"/>
      <c r="D31" s="483"/>
      <c r="E31" s="483"/>
      <c r="F31" s="483"/>
      <c r="G31" s="483"/>
      <c r="H31" s="483"/>
    </row>
    <row r="32" spans="1:8">
      <c r="A32" s="483"/>
      <c r="B32" s="483"/>
      <c r="C32" s="483"/>
      <c r="D32" s="483"/>
      <c r="E32" s="483"/>
      <c r="F32" s="483"/>
      <c r="G32" s="483"/>
      <c r="H32" s="483"/>
    </row>
    <row r="33" spans="1:8">
      <c r="A33" s="483"/>
      <c r="B33" s="483"/>
      <c r="D33" s="483"/>
      <c r="H33" s="483"/>
    </row>
    <row r="34" spans="1:8">
      <c r="A34" s="111"/>
      <c r="B34" s="111"/>
      <c r="C34" s="111"/>
      <c r="D34" s="111"/>
      <c r="E34" s="111"/>
      <c r="F34" s="111"/>
      <c r="G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SUM(H21:H33)</f>
        <v>191.89999999999998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One Hundred Ninety-One and 90/100 -----------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11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26"/>
      <c r="B41" s="111"/>
      <c r="C41" s="111"/>
      <c r="D41" s="111"/>
      <c r="E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5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208"/>
  <dimension ref="A1:O56"/>
  <sheetViews>
    <sheetView view="pageBreakPreview" zoomScaleNormal="100" zoomScaleSheetLayoutView="100" workbookViewId="0">
      <selection activeCell="G9" sqref="G9:G13"/>
    </sheetView>
  </sheetViews>
  <sheetFormatPr defaultRowHeight="12.75"/>
  <cols>
    <col min="1" max="1" width="15.140625" style="1" customWidth="1"/>
    <col min="2" max="2" width="13.140625" style="1" customWidth="1"/>
    <col min="3" max="3" width="0.7109375" style="1" customWidth="1"/>
    <col min="4" max="4" width="23" style="1" customWidth="1"/>
    <col min="5" max="5" width="1" style="1" customWidth="1"/>
    <col min="6" max="6" width="13.7109375" style="1" customWidth="1"/>
    <col min="7" max="7" width="9" style="1" customWidth="1"/>
    <col min="8" max="8" width="12" style="1" customWidth="1"/>
    <col min="9" max="16384" width="9.140625" style="1"/>
  </cols>
  <sheetData>
    <row r="1" spans="1:15" ht="15">
      <c r="A1" s="528" t="s">
        <v>26</v>
      </c>
      <c r="B1" s="528"/>
      <c r="C1" s="528"/>
      <c r="D1" s="528"/>
      <c r="E1" s="528"/>
      <c r="F1" s="528"/>
      <c r="G1" s="528"/>
      <c r="H1" s="528"/>
    </row>
    <row r="2" spans="1:15">
      <c r="A2" s="530" t="s">
        <v>25</v>
      </c>
      <c r="B2" s="530"/>
      <c r="C2" s="530"/>
      <c r="D2" s="530"/>
      <c r="E2" s="530"/>
      <c r="F2" s="530"/>
      <c r="G2" s="530"/>
      <c r="H2" s="530"/>
    </row>
    <row r="3" spans="1:15">
      <c r="A3" s="530" t="s">
        <v>1480</v>
      </c>
      <c r="B3" s="530"/>
      <c r="C3" s="530"/>
      <c r="D3" s="530"/>
      <c r="E3" s="530"/>
      <c r="F3" s="530"/>
      <c r="G3" s="530"/>
      <c r="H3" s="530"/>
    </row>
    <row r="4" spans="1:15">
      <c r="A4" s="530" t="s">
        <v>1481</v>
      </c>
      <c r="B4" s="530"/>
      <c r="C4" s="530"/>
      <c r="D4" s="530"/>
      <c r="E4" s="530"/>
      <c r="F4" s="530"/>
      <c r="G4" s="530"/>
      <c r="H4" s="530"/>
    </row>
    <row r="8" spans="1:15">
      <c r="A8" s="111" t="s">
        <v>24</v>
      </c>
      <c r="B8" s="111"/>
      <c r="C8" s="111"/>
      <c r="D8" s="111"/>
      <c r="E8" s="111"/>
      <c r="F8" s="22" t="s">
        <v>23</v>
      </c>
      <c r="G8" s="111"/>
      <c r="H8" s="111"/>
    </row>
    <row r="9" spans="1:15">
      <c r="A9" s="111"/>
      <c r="B9" s="111"/>
      <c r="C9" s="111"/>
      <c r="D9" s="111"/>
      <c r="E9" s="111"/>
      <c r="F9" s="112" t="s">
        <v>1127</v>
      </c>
      <c r="G9" s="483" t="s">
        <v>7208</v>
      </c>
      <c r="H9" s="111"/>
    </row>
    <row r="10" spans="1:15">
      <c r="A10" s="111" t="s">
        <v>1410</v>
      </c>
      <c r="B10" s="111"/>
      <c r="C10" s="111"/>
      <c r="D10" s="111"/>
      <c r="E10" s="111"/>
      <c r="F10" s="112" t="s">
        <v>1162</v>
      </c>
      <c r="G10" s="484" t="s">
        <v>7191</v>
      </c>
      <c r="H10" s="111"/>
    </row>
    <row r="11" spans="1:15">
      <c r="A11" s="111"/>
      <c r="B11" s="111"/>
      <c r="C11" s="111"/>
      <c r="D11" s="111"/>
      <c r="E11" s="111"/>
      <c r="F11" s="112" t="s">
        <v>1163</v>
      </c>
      <c r="G11" s="484" t="s">
        <v>1094</v>
      </c>
      <c r="H11" s="111"/>
    </row>
    <row r="12" spans="1:15">
      <c r="A12" s="111"/>
      <c r="B12" s="111"/>
      <c r="C12" s="111"/>
      <c r="D12" s="111"/>
      <c r="E12" s="111"/>
      <c r="F12" s="112" t="s">
        <v>1096</v>
      </c>
      <c r="G12" s="484" t="s">
        <v>7209</v>
      </c>
      <c r="H12" s="111"/>
    </row>
    <row r="13" spans="1:15">
      <c r="A13" s="111"/>
      <c r="B13" s="111"/>
      <c r="C13" s="111"/>
      <c r="D13" s="111"/>
      <c r="E13" s="111"/>
      <c r="F13" s="111"/>
      <c r="G13" s="483" t="s">
        <v>7192</v>
      </c>
      <c r="H13" s="111"/>
    </row>
    <row r="14" spans="1:15">
      <c r="A14" s="111"/>
      <c r="B14" s="111"/>
      <c r="C14" s="111"/>
      <c r="D14" s="111"/>
      <c r="E14" s="111"/>
      <c r="F14" s="111"/>
      <c r="G14" s="483"/>
      <c r="H14" s="111"/>
      <c r="L14" s="1" t="s">
        <v>5258</v>
      </c>
      <c r="M14" s="1">
        <v>43434</v>
      </c>
      <c r="O14" s="1" t="s">
        <v>5259</v>
      </c>
    </row>
    <row r="15" spans="1:15">
      <c r="A15" s="111"/>
      <c r="B15" s="111"/>
      <c r="C15" s="111"/>
      <c r="D15" s="111"/>
      <c r="E15" s="111"/>
      <c r="F15" s="111"/>
      <c r="G15" s="111"/>
      <c r="H15" s="111"/>
    </row>
    <row r="16" spans="1:15" s="15" customFormat="1" ht="20.100000000000001" customHeight="1">
      <c r="A16" s="18" t="s">
        <v>1122</v>
      </c>
      <c r="B16" s="129" t="s">
        <v>1098</v>
      </c>
      <c r="C16" s="129"/>
      <c r="D16" s="19" t="s">
        <v>14</v>
      </c>
      <c r="E16" s="19"/>
      <c r="F16" s="18"/>
      <c r="G16" s="17"/>
      <c r="H16" s="16" t="s">
        <v>13</v>
      </c>
    </row>
    <row r="17" spans="1:8">
      <c r="A17" s="111"/>
      <c r="B17" s="111"/>
      <c r="C17" s="111"/>
      <c r="D17" s="111"/>
      <c r="E17" s="111"/>
      <c r="F17" s="111"/>
      <c r="G17" s="111"/>
      <c r="H17" s="111"/>
    </row>
    <row r="18" spans="1:8">
      <c r="A18" s="111"/>
      <c r="B18" s="111"/>
      <c r="C18" s="111"/>
      <c r="D18" s="111"/>
      <c r="E18" s="111"/>
      <c r="F18" s="111"/>
      <c r="G18" s="111"/>
      <c r="H18" s="111"/>
    </row>
    <row r="19" spans="1:8">
      <c r="B19" s="116"/>
      <c r="C19" s="116"/>
      <c r="D19" s="111" t="s">
        <v>1549</v>
      </c>
      <c r="E19" s="111"/>
      <c r="F19" s="111"/>
      <c r="G19" s="111"/>
      <c r="H19" s="111"/>
    </row>
    <row r="20" spans="1:8">
      <c r="A20" s="111"/>
      <c r="B20" s="111"/>
      <c r="C20" s="111"/>
      <c r="D20" s="111"/>
      <c r="E20" s="111"/>
      <c r="F20" s="111"/>
      <c r="G20" s="111"/>
      <c r="H20" s="111"/>
    </row>
    <row r="21" spans="1:8">
      <c r="A21" s="484" t="s">
        <v>7207</v>
      </c>
      <c r="B21" s="111"/>
      <c r="C21" s="111"/>
      <c r="D21" s="111" t="s">
        <v>1551</v>
      </c>
      <c r="E21" s="111"/>
      <c r="F21" s="111"/>
      <c r="G21" s="111"/>
      <c r="H21" s="111"/>
    </row>
    <row r="22" spans="1:8">
      <c r="A22" s="111"/>
      <c r="B22" s="111"/>
      <c r="C22" s="111"/>
      <c r="D22" s="111" t="s">
        <v>1550</v>
      </c>
      <c r="E22" s="111"/>
      <c r="F22" s="111"/>
      <c r="G22" s="111"/>
      <c r="H22" s="111"/>
    </row>
    <row r="23" spans="1:8">
      <c r="A23" s="111"/>
      <c r="B23" s="111"/>
      <c r="C23" s="111"/>
      <c r="D23" s="111" t="s">
        <v>1626</v>
      </c>
      <c r="E23" s="111"/>
      <c r="F23" s="111"/>
      <c r="G23" s="111"/>
      <c r="H23" s="111">
        <v>245</v>
      </c>
    </row>
    <row r="24" spans="1:8">
      <c r="A24" s="111"/>
      <c r="B24" s="111"/>
      <c r="C24" s="111"/>
      <c r="D24" s="111" t="s">
        <v>1628</v>
      </c>
      <c r="E24" s="111"/>
      <c r="F24" s="111"/>
      <c r="G24" s="111"/>
      <c r="H24" s="111">
        <v>31.93</v>
      </c>
    </row>
    <row r="25" spans="1:8">
      <c r="A25" s="111"/>
      <c r="B25" s="111"/>
      <c r="C25" s="111"/>
      <c r="D25" s="111" t="s">
        <v>5134</v>
      </c>
      <c r="E25" s="111"/>
      <c r="F25" s="111"/>
      <c r="G25" s="111"/>
      <c r="H25" s="111">
        <v>16.62</v>
      </c>
    </row>
    <row r="26" spans="1:8">
      <c r="A26" s="111"/>
      <c r="B26" s="111"/>
      <c r="C26" s="111"/>
      <c r="D26" s="111"/>
      <c r="E26" s="111"/>
      <c r="F26" s="111"/>
      <c r="G26" s="111"/>
      <c r="H26" s="111"/>
    </row>
    <row r="27" spans="1:8">
      <c r="A27" s="111"/>
      <c r="B27" s="111"/>
      <c r="C27" s="111"/>
      <c r="D27" s="111"/>
      <c r="E27" s="111"/>
      <c r="F27" s="111"/>
      <c r="G27" s="111"/>
      <c r="H27" s="111"/>
    </row>
    <row r="28" spans="1:8">
      <c r="A28" s="484"/>
      <c r="B28" s="483"/>
      <c r="C28" s="483"/>
      <c r="D28" s="483"/>
      <c r="E28" s="483"/>
      <c r="F28" s="483"/>
      <c r="G28" s="483"/>
      <c r="H28" s="483"/>
    </row>
    <row r="29" spans="1:8">
      <c r="A29" s="483"/>
      <c r="B29" s="483"/>
      <c r="C29" s="483"/>
      <c r="D29" s="483"/>
      <c r="E29" s="483"/>
      <c r="F29" s="483"/>
      <c r="G29" s="483"/>
      <c r="H29" s="483"/>
    </row>
    <row r="30" spans="1:8">
      <c r="A30" s="483"/>
      <c r="B30" s="483"/>
      <c r="C30" s="483"/>
      <c r="D30" s="483"/>
      <c r="E30" s="483"/>
      <c r="F30" s="483"/>
      <c r="G30" s="483"/>
      <c r="H30" s="483"/>
    </row>
    <row r="31" spans="1:8">
      <c r="A31" s="483"/>
      <c r="B31" s="483"/>
      <c r="C31" s="483"/>
      <c r="D31" s="483"/>
      <c r="E31" s="483"/>
      <c r="F31" s="483"/>
      <c r="G31" s="483"/>
      <c r="H31" s="483"/>
    </row>
    <row r="32" spans="1:8">
      <c r="A32" s="483"/>
      <c r="B32" s="483"/>
      <c r="C32" s="483"/>
      <c r="D32" s="483"/>
      <c r="E32" s="483"/>
      <c r="F32" s="483"/>
      <c r="G32" s="483"/>
      <c r="H32" s="483"/>
    </row>
    <row r="33" spans="1:8">
      <c r="A33" s="483"/>
      <c r="B33" s="483"/>
      <c r="C33" s="483"/>
      <c r="D33" s="483"/>
      <c r="E33" s="483"/>
      <c r="F33" s="483"/>
      <c r="G33" s="483"/>
      <c r="H33" s="483"/>
    </row>
    <row r="34" spans="1:8">
      <c r="A34" s="111"/>
      <c r="B34" s="111"/>
      <c r="C34" s="111"/>
      <c r="D34" s="111"/>
      <c r="E34" s="111"/>
      <c r="F34" s="111"/>
      <c r="G34" s="111"/>
    </row>
    <row r="35" spans="1:8" ht="13.5" thickBot="1">
      <c r="A35" s="111"/>
      <c r="B35" s="111"/>
      <c r="C35" s="111"/>
      <c r="D35" s="111"/>
      <c r="E35" s="111"/>
      <c r="F35" s="111"/>
      <c r="G35" s="111"/>
      <c r="H35" s="117">
        <f>SUM(H20:H34)</f>
        <v>293.55</v>
      </c>
    </row>
    <row r="36" spans="1:8" ht="13.5" thickTop="1">
      <c r="A36" s="111"/>
      <c r="B36" s="111"/>
      <c r="C36" s="111"/>
      <c r="D36" s="111"/>
      <c r="E36" s="111"/>
      <c r="F36" s="111"/>
      <c r="G36" s="111"/>
      <c r="H36" s="111"/>
    </row>
    <row r="37" spans="1:8" ht="20.100000000000001" customHeight="1">
      <c r="A37" s="118" t="s">
        <v>1133</v>
      </c>
      <c r="B37" s="202" t="str">
        <f>IF(OR(H35&gt;1000000,H35&lt;=0),"",IF(H35&lt;1000,"",IF(MOD(H35,1000000)&gt;=100000,INDEX(numbers,TRUNC(MOD(H35,1000000)/100000,0)+1)&amp;" Hundred","")&amp;IF(MOD(H35,100000)&gt;=20000," "&amp;INDEX(tens,TRUNC(MOD(H35,100000)/10000,0)+1)&amp;IF(MOD(MOD(H35,100000),10000)&gt;=1000,"-"&amp;INDEX(numbers,TRUNC(MOD(MOD(H35,100000),10000)/1000,0)+1),""),IF(MOD(H35,100000)&gt;=1000," "&amp;INDEX(numbers,TRUNC(MOD(H35,100000)/1000,0)+1),""))&amp;" Thousand") &amp; IF(H35&lt;1,"Zero Dollars",IF(MOD(H35,1000)&gt;=100," "&amp;INDEX(numbers,TRUNC(MOD(H35,1000)/100,0)+1)&amp;" Hundred","")&amp;IF(MOD(H35,100)&gt;=20," "&amp;INDEX(tens,TRUNC(MOD(H35,100)/10,0)+1)&amp;IF(MOD(MOD(H35,100),10)&gt;=1,"-"&amp;INDEX(numbers,TRUNC(MOD(MOD(H35,100),10),0)+1),""),IF(MOD(H35,100)&gt;=1," "&amp;INDEX(numbers,TRUNC(MOD(H35,100),0)+1),""))&amp;"") &amp; " and " &amp; IF(MOD(H35,1)&lt;0.005,"NO",ROUND(MOD(H35,1)*100,0)) &amp; "/100 -----------")</f>
        <v xml:space="preserve"> Two Hundred Ninety-Three and 55/100 -----------</v>
      </c>
      <c r="C37" s="202"/>
      <c r="D37" s="119"/>
      <c r="E37" s="119"/>
      <c r="F37" s="119"/>
      <c r="G37" s="119"/>
      <c r="H37" s="119"/>
    </row>
    <row r="38" spans="1:8">
      <c r="A38" s="120" t="s">
        <v>11</v>
      </c>
      <c r="B38" s="111"/>
      <c r="C38" s="111"/>
      <c r="D38" s="111"/>
      <c r="E38" s="111"/>
      <c r="F38" s="111"/>
      <c r="G38" s="111"/>
      <c r="H38" s="111"/>
    </row>
    <row r="39" spans="1:8" ht="25.5">
      <c r="A39" s="111" t="s">
        <v>10</v>
      </c>
      <c r="B39" s="111"/>
      <c r="C39" s="111"/>
      <c r="D39" s="111"/>
      <c r="E39" s="111"/>
      <c r="F39" s="265" t="s">
        <v>2894</v>
      </c>
      <c r="G39" s="266"/>
      <c r="H39" s="267"/>
    </row>
    <row r="40" spans="1:8">
      <c r="A40" s="111"/>
      <c r="B40" s="111"/>
      <c r="C40" s="111"/>
      <c r="D40" s="111"/>
      <c r="E40" s="111"/>
      <c r="F40" s="111"/>
      <c r="G40" s="111"/>
      <c r="H40" s="111"/>
    </row>
    <row r="41" spans="1:8">
      <c r="A41" s="126"/>
      <c r="B41" s="111"/>
      <c r="C41" s="111"/>
      <c r="D41" s="111"/>
      <c r="E41" s="111"/>
    </row>
    <row r="42" spans="1:8">
      <c r="A42" s="111"/>
      <c r="B42" s="111"/>
      <c r="C42" s="111"/>
      <c r="D42" s="121"/>
      <c r="E42" s="121"/>
      <c r="F42" s="111"/>
      <c r="G42" s="111"/>
      <c r="H42" s="111"/>
    </row>
    <row r="43" spans="1:8">
      <c r="A43" s="122"/>
      <c r="B43" s="122"/>
      <c r="C43" s="111"/>
      <c r="D43" s="111"/>
      <c r="E43" s="111"/>
      <c r="F43" s="111"/>
      <c r="G43" s="111"/>
      <c r="H43" s="111"/>
    </row>
    <row r="44" spans="1:8">
      <c r="A44" s="111"/>
      <c r="B44" s="111"/>
      <c r="C44" s="111"/>
      <c r="D44" s="111"/>
      <c r="E44" s="111"/>
      <c r="F44" s="111"/>
      <c r="G44" s="111"/>
      <c r="H44" s="111"/>
    </row>
    <row r="45" spans="1:8">
      <c r="A45" s="123" t="s">
        <v>8</v>
      </c>
      <c r="B45" s="111"/>
      <c r="C45" s="111"/>
      <c r="D45" s="123" t="s">
        <v>8</v>
      </c>
      <c r="E45" s="111"/>
      <c r="F45" s="123" t="s">
        <v>7</v>
      </c>
      <c r="G45" s="111"/>
      <c r="H45" s="124"/>
    </row>
    <row r="46" spans="1:8">
      <c r="A46" s="111"/>
      <c r="B46" s="111"/>
      <c r="C46" s="111"/>
      <c r="D46" s="111"/>
      <c r="E46" s="111"/>
      <c r="F46" s="111"/>
      <c r="G46" s="111"/>
      <c r="H46" s="111"/>
    </row>
    <row r="47" spans="1:8">
      <c r="A47" s="111"/>
      <c r="B47" s="111"/>
      <c r="C47" s="111"/>
      <c r="D47" s="111"/>
      <c r="E47" s="111"/>
      <c r="F47" s="111"/>
      <c r="G47" s="111"/>
      <c r="H47" s="111"/>
    </row>
    <row r="48" spans="1:8">
      <c r="A48" s="111"/>
      <c r="B48" s="111"/>
      <c r="C48" s="111"/>
      <c r="D48" s="111"/>
      <c r="E48" s="111"/>
      <c r="F48" s="111"/>
      <c r="G48" s="111"/>
      <c r="H48" s="111"/>
    </row>
    <row r="49" spans="1:8">
      <c r="A49" s="122"/>
      <c r="B49" s="122"/>
      <c r="C49" s="111"/>
      <c r="D49" s="122"/>
      <c r="E49" s="111"/>
      <c r="F49" s="122"/>
      <c r="G49" s="122"/>
      <c r="H49" s="122"/>
    </row>
    <row r="50" spans="1:8" s="3" customFormat="1" ht="17.100000000000001" customHeight="1">
      <c r="A50" s="151" t="s">
        <v>2948</v>
      </c>
      <c r="B50" s="125"/>
      <c r="C50" s="125"/>
      <c r="D50" s="151" t="s">
        <v>103</v>
      </c>
      <c r="E50" s="126"/>
      <c r="F50" s="126" t="s">
        <v>3</v>
      </c>
      <c r="G50" s="126"/>
      <c r="H50" s="126"/>
    </row>
    <row r="51" spans="1:8">
      <c r="A51" s="111"/>
      <c r="B51" s="111"/>
      <c r="C51" s="111"/>
      <c r="D51" s="111"/>
      <c r="E51" s="111"/>
      <c r="F51" s="111" t="s">
        <v>2</v>
      </c>
      <c r="G51" s="111"/>
      <c r="H51" s="111"/>
    </row>
    <row r="52" spans="1:8">
      <c r="A52" s="151"/>
      <c r="B52" s="111"/>
      <c r="C52" s="111"/>
      <c r="D52" s="111"/>
      <c r="E52" s="111"/>
      <c r="F52" s="111"/>
      <c r="G52" s="111"/>
      <c r="H52" s="111"/>
    </row>
    <row r="53" spans="1:8">
      <c r="A53" s="111"/>
      <c r="B53" s="111"/>
      <c r="C53" s="111"/>
      <c r="D53" s="111"/>
      <c r="E53" s="111"/>
      <c r="F53" s="2" t="s">
        <v>1</v>
      </c>
      <c r="G53" s="111"/>
      <c r="H53" s="111"/>
    </row>
    <row r="54" spans="1:8">
      <c r="A54" s="111"/>
      <c r="B54" s="111"/>
      <c r="C54" s="111"/>
      <c r="D54" s="111"/>
      <c r="E54" s="111"/>
      <c r="F54" s="2" t="s">
        <v>0</v>
      </c>
      <c r="G54" s="111"/>
      <c r="H54" s="111"/>
    </row>
    <row r="55" spans="1:8">
      <c r="A55" s="111"/>
      <c r="B55" s="111"/>
      <c r="C55" s="111"/>
      <c r="D55" s="111"/>
      <c r="E55" s="111"/>
      <c r="F55" s="111"/>
      <c r="G55" s="111"/>
      <c r="H55" s="111"/>
    </row>
    <row r="56" spans="1:8">
      <c r="A56" s="111"/>
      <c r="B56" s="111"/>
      <c r="C56" s="111"/>
      <c r="D56" s="111"/>
      <c r="E56" s="111"/>
      <c r="F56" s="111"/>
      <c r="G56" s="111"/>
      <c r="H56" s="111"/>
    </row>
  </sheetData>
  <mergeCells count="4">
    <mergeCell ref="A1:H1"/>
    <mergeCell ref="A2:H2"/>
    <mergeCell ref="A3:H3"/>
    <mergeCell ref="A4:H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253">
    <pageSetUpPr fitToPage="1"/>
  </sheetPr>
  <dimension ref="A1:F52"/>
  <sheetViews>
    <sheetView topLeftCell="A10" workbookViewId="0">
      <selection activeCell="G9" sqref="G9:G13"/>
    </sheetView>
  </sheetViews>
  <sheetFormatPr defaultRowHeight="12.75"/>
  <cols>
    <col min="1" max="1" width="14.28515625" style="111" customWidth="1"/>
    <col min="2" max="2" width="14" style="111" customWidth="1"/>
    <col min="3" max="3" width="23" style="111" customWidth="1"/>
    <col min="4" max="4" width="12" style="111" customWidth="1"/>
    <col min="5" max="5" width="9.7109375" style="111" customWidth="1"/>
    <col min="6" max="6" width="13.1406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1239</v>
      </c>
      <c r="E9" s="147" t="s">
        <v>2789</v>
      </c>
    </row>
    <row r="10" spans="1:6">
      <c r="A10" s="111" t="s">
        <v>2261</v>
      </c>
      <c r="D10" s="112" t="s">
        <v>1124</v>
      </c>
      <c r="E10" s="212" t="s">
        <v>2787</v>
      </c>
    </row>
    <row r="11" spans="1:6">
      <c r="A11" s="111" t="s">
        <v>2262</v>
      </c>
      <c r="D11" s="112" t="s">
        <v>1125</v>
      </c>
      <c r="E11" s="212" t="s">
        <v>1094</v>
      </c>
    </row>
    <row r="12" spans="1:6">
      <c r="D12" s="112" t="s">
        <v>1096</v>
      </c>
      <c r="E12" s="212" t="s">
        <v>2790</v>
      </c>
    </row>
    <row r="16" spans="1:6" s="15" customFormat="1" ht="20.100000000000001" customHeight="1">
      <c r="A16" s="18" t="s">
        <v>1113</v>
      </c>
      <c r="B16" s="18" t="s">
        <v>1114</v>
      </c>
      <c r="C16" s="19" t="s">
        <v>14</v>
      </c>
      <c r="D16" s="18"/>
      <c r="E16" s="17"/>
      <c r="F16" s="16" t="s">
        <v>13</v>
      </c>
    </row>
    <row r="17" spans="1:6">
      <c r="A17" s="153"/>
    </row>
    <row r="18" spans="1:6">
      <c r="A18" s="116"/>
      <c r="B18" s="116"/>
      <c r="C18" s="2" t="s">
        <v>2791</v>
      </c>
    </row>
    <row r="19" spans="1:6">
      <c r="A19" s="116"/>
      <c r="B19" s="116"/>
      <c r="C19" s="2"/>
    </row>
    <row r="20" spans="1:6">
      <c r="A20" s="116" t="s">
        <v>2792</v>
      </c>
      <c r="B20" s="116" t="s">
        <v>2793</v>
      </c>
      <c r="C20" s="111" t="s">
        <v>2794</v>
      </c>
      <c r="F20" s="111">
        <v>240</v>
      </c>
    </row>
    <row r="21" spans="1:6">
      <c r="A21" s="116"/>
      <c r="B21" s="116"/>
    </row>
    <row r="22" spans="1:6">
      <c r="C22" s="111" t="s">
        <v>2795</v>
      </c>
      <c r="F22" s="111">
        <v>240</v>
      </c>
    </row>
    <row r="30" spans="1:6">
      <c r="A30" s="153"/>
    </row>
    <row r="31" spans="1:6">
      <c r="A31" s="153"/>
    </row>
    <row r="32" spans="1:6">
      <c r="A32" s="153"/>
    </row>
    <row r="33" spans="1:6" ht="13.5" thickBot="1">
      <c r="A33" s="153"/>
      <c r="F33" s="117">
        <f>SUM(F20:F32)</f>
        <v>480</v>
      </c>
    </row>
    <row r="34" spans="1:6" ht="13.5" thickTop="1">
      <c r="A34" s="153"/>
    </row>
    <row r="35" spans="1:6" ht="20.100000000000001" customHeight="1">
      <c r="A35" s="118" t="s">
        <v>204</v>
      </c>
      <c r="B35" s="202" t="str">
        <f>IF(OR(F33&gt;1000000,F33&lt;=0),"",IF(F33&lt;1000,"",IF(MOD(F33,1000000)&gt;=100000,INDEX(numbers,TRUNC(MOD(F33,1000000)/100000,0)+1)&amp;" Hundred","")&amp;IF(MOD(F33,100000)&gt;=20000," "&amp;INDEX(tens,TRUNC(MOD(F33,100000)/10000,0)+1)&amp;IF(MOD(MOD(F33,100000),10000)&gt;=1000,"-"&amp;INDEX(numbers,TRUNC(MOD(MOD(F33,100000),10000)/1000,0)+1),""),IF(MOD(F33,100000)&gt;=1000," "&amp;INDEX(numbers,TRUNC(MOD(F33,100000)/1000,0)+1),""))&amp;" Thousand") &amp; IF(F33&lt;1,"Zero Dollars",IF(MOD(F33,1000)&gt;=100," "&amp;INDEX(numbers,TRUNC(MOD(F33,1000)/100,0)+1)&amp;" Hundred","")&amp;IF(MOD(F33,100)&gt;=20," "&amp;INDEX(tens,TRUNC(MOD(F33,100)/10,0)+1)&amp;IF(MOD(MOD(F33,100),10)&gt;=1,"-"&amp;INDEX(numbers,TRUNC(MOD(MOD(F33,100),10),0)+1),""),IF(MOD(F33,100)&gt;=1," "&amp;INDEX(numbers,TRUNC(MOD(F33,100),0)+1),""))&amp;"") &amp; " and " &amp; IF(MOD(F33,1)&lt;0.005,"NO",ROUND(MOD(F33,1)*100,0)) &amp; "/100 -----------")</f>
        <v xml:space="preserve"> Four Hundred Eighty and NO/100 -----------</v>
      </c>
      <c r="C35" s="119"/>
      <c r="D35" s="119"/>
      <c r="E35" s="119"/>
      <c r="F35" s="119"/>
    </row>
    <row r="36" spans="1:6">
      <c r="A36" s="120" t="s">
        <v>11</v>
      </c>
    </row>
    <row r="37" spans="1:6">
      <c r="A37" s="111" t="s">
        <v>10</v>
      </c>
    </row>
    <row r="39" spans="1:6" ht="25.5">
      <c r="A39" s="126"/>
      <c r="D39" s="265" t="s">
        <v>2894</v>
      </c>
      <c r="E39" s="266"/>
      <c r="F39" s="267"/>
    </row>
    <row r="40" spans="1:6">
      <c r="C40" s="121"/>
    </row>
    <row r="41" spans="1:6">
      <c r="A41" s="122"/>
      <c r="B41" s="122"/>
    </row>
    <row r="43" spans="1:6">
      <c r="A43" s="123" t="s">
        <v>8</v>
      </c>
      <c r="D43" s="123" t="s">
        <v>7</v>
      </c>
      <c r="F43" s="124"/>
    </row>
    <row r="47" spans="1:6">
      <c r="A47" s="122"/>
      <c r="B47" s="122"/>
      <c r="D47" s="122"/>
      <c r="E47" s="122"/>
      <c r="F47" s="122"/>
    </row>
    <row r="48" spans="1:6" s="126" customFormat="1" ht="17.100000000000001" customHeight="1">
      <c r="A48" s="125" t="s">
        <v>4</v>
      </c>
      <c r="B48" s="125"/>
      <c r="D48" s="126" t="s">
        <v>3</v>
      </c>
    </row>
    <row r="49" spans="1:4">
      <c r="D49" s="111" t="s">
        <v>2</v>
      </c>
    </row>
    <row r="50" spans="1:4">
      <c r="A50" s="151" t="s">
        <v>2948</v>
      </c>
    </row>
    <row r="51" spans="1:4">
      <c r="D51" s="2" t="s">
        <v>1</v>
      </c>
    </row>
    <row r="52" spans="1:4">
      <c r="D52" s="2" t="s">
        <v>0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orientation="portrait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265">
    <pageSetUpPr fitToPage="1"/>
  </sheetPr>
  <dimension ref="A1:F50"/>
  <sheetViews>
    <sheetView workbookViewId="0">
      <selection activeCell="G9" sqref="G9:G13"/>
    </sheetView>
  </sheetViews>
  <sheetFormatPr defaultRowHeight="12.75"/>
  <cols>
    <col min="1" max="1" width="15.42578125" style="111" customWidth="1"/>
    <col min="2" max="2" width="14.5703125" style="111" customWidth="1"/>
    <col min="3" max="3" width="23" style="111" customWidth="1"/>
    <col min="4" max="4" width="12.85546875" style="111" customWidth="1"/>
    <col min="5" max="5" width="8.85546875" style="111" customWidth="1"/>
    <col min="6" max="6" width="13.5703125" style="111" customWidth="1"/>
    <col min="7" max="16384" width="9.140625" style="111"/>
  </cols>
  <sheetData>
    <row r="1" spans="1:6" ht="15">
      <c r="A1" s="528" t="s">
        <v>26</v>
      </c>
      <c r="B1" s="528"/>
      <c r="C1" s="528"/>
      <c r="D1" s="528"/>
      <c r="E1" s="528"/>
      <c r="F1" s="528"/>
    </row>
    <row r="2" spans="1:6">
      <c r="A2" s="530" t="s">
        <v>25</v>
      </c>
      <c r="B2" s="530"/>
      <c r="C2" s="530"/>
      <c r="D2" s="530"/>
      <c r="E2" s="530"/>
      <c r="F2" s="530"/>
    </row>
    <row r="3" spans="1:6">
      <c r="A3" s="530" t="s">
        <v>1480</v>
      </c>
      <c r="B3" s="530"/>
      <c r="C3" s="530"/>
      <c r="D3" s="530"/>
      <c r="E3" s="530"/>
      <c r="F3" s="530"/>
    </row>
    <row r="4" spans="1:6">
      <c r="A4" s="530" t="s">
        <v>1481</v>
      </c>
      <c r="B4" s="530"/>
      <c r="C4" s="530"/>
      <c r="D4" s="530"/>
      <c r="E4" s="530"/>
      <c r="F4" s="530"/>
    </row>
    <row r="8" spans="1:6">
      <c r="A8" s="111" t="s">
        <v>24</v>
      </c>
      <c r="D8" s="22" t="s">
        <v>23</v>
      </c>
    </row>
    <row r="9" spans="1:6">
      <c r="D9" s="112" t="s">
        <v>1110</v>
      </c>
      <c r="E9" s="111" t="s">
        <v>2489</v>
      </c>
    </row>
    <row r="10" spans="1:6">
      <c r="A10" s="111" t="s">
        <v>2492</v>
      </c>
      <c r="D10" s="112" t="s">
        <v>1162</v>
      </c>
      <c r="E10" s="112" t="s">
        <v>2472</v>
      </c>
    </row>
    <row r="11" spans="1:6">
      <c r="A11" s="111" t="s">
        <v>2491</v>
      </c>
      <c r="D11" s="112" t="s">
        <v>1187</v>
      </c>
      <c r="E11" s="112" t="s">
        <v>1094</v>
      </c>
    </row>
    <row r="12" spans="1:6">
      <c r="A12" s="111" t="s">
        <v>2493</v>
      </c>
      <c r="D12" s="112" t="s">
        <v>1188</v>
      </c>
      <c r="E12" s="112" t="s">
        <v>2490</v>
      </c>
    </row>
    <row r="16" spans="1:6" s="15" customFormat="1" ht="20.100000000000001" customHeight="1">
      <c r="A16" s="18" t="s">
        <v>1122</v>
      </c>
      <c r="B16" s="18" t="s">
        <v>1132</v>
      </c>
      <c r="C16" s="19" t="s">
        <v>14</v>
      </c>
      <c r="D16" s="18"/>
      <c r="E16" s="17"/>
      <c r="F16" s="16" t="s">
        <v>13</v>
      </c>
    </row>
    <row r="18" spans="1:6">
      <c r="C18" s="2" t="s">
        <v>2494</v>
      </c>
    </row>
    <row r="19" spans="1:6">
      <c r="C19" s="2"/>
    </row>
    <row r="20" spans="1:6">
      <c r="A20" s="116" t="s">
        <v>2495</v>
      </c>
      <c r="B20" s="116" t="s">
        <v>2496</v>
      </c>
      <c r="C20" s="120" t="s">
        <v>2497</v>
      </c>
      <c r="F20" s="111">
        <v>1500</v>
      </c>
    </row>
    <row r="21" spans="1:6">
      <c r="C21" s="111" t="s">
        <v>2498</v>
      </c>
    </row>
    <row r="24" spans="1:6">
      <c r="A24" s="116"/>
      <c r="B24" s="116"/>
    </row>
    <row r="27" spans="1:6">
      <c r="B27" s="120"/>
    </row>
    <row r="28" spans="1:6">
      <c r="B28" s="120"/>
    </row>
    <row r="30" spans="1:6" ht="13.5" thickBot="1">
      <c r="F30" s="127">
        <f>SUM(F20:F29)</f>
        <v>1500</v>
      </c>
    </row>
    <row r="31" spans="1:6" ht="13.5" thickTop="1"/>
    <row r="32" spans="1:6" ht="20.100000000000001" customHeight="1">
      <c r="A32" s="118" t="s">
        <v>204</v>
      </c>
      <c r="B32" s="118" t="s">
        <v>2042</v>
      </c>
      <c r="C32" s="119"/>
      <c r="D32" s="119"/>
      <c r="E32" s="119"/>
    </row>
    <row r="33" spans="1:6" ht="13.5" thickBot="1">
      <c r="A33" s="120"/>
      <c r="F33" s="259">
        <f>SUM(F20:F32)</f>
        <v>3000</v>
      </c>
    </row>
    <row r="34" spans="1:6" ht="13.5" thickTop="1">
      <c r="A34" s="111" t="s">
        <v>10</v>
      </c>
    </row>
    <row r="37" spans="1:6">
      <c r="C37" s="121"/>
    </row>
    <row r="38" spans="1:6">
      <c r="A38" s="122"/>
      <c r="B38" s="122"/>
    </row>
    <row r="39" spans="1:6" ht="25.5">
      <c r="A39" s="126"/>
      <c r="D39" s="265" t="s">
        <v>2894</v>
      </c>
      <c r="E39" s="266"/>
      <c r="F39" s="267"/>
    </row>
    <row r="40" spans="1:6">
      <c r="A40" s="123" t="s">
        <v>8</v>
      </c>
      <c r="F40" s="124"/>
    </row>
    <row r="44" spans="1:6">
      <c r="A44" s="122"/>
      <c r="B44" s="122"/>
      <c r="D44" s="122"/>
      <c r="E44" s="122"/>
      <c r="F44" s="122"/>
    </row>
    <row r="45" spans="1:6" s="126" customFormat="1" ht="17.100000000000001" customHeight="1">
      <c r="A45" s="125" t="s">
        <v>4</v>
      </c>
      <c r="B45" s="125"/>
      <c r="D45" s="126" t="s">
        <v>3</v>
      </c>
    </row>
    <row r="46" spans="1:6">
      <c r="D46" s="111" t="s">
        <v>2</v>
      </c>
    </row>
    <row r="48" spans="1:6">
      <c r="D48" s="2" t="s">
        <v>1</v>
      </c>
    </row>
    <row r="49" spans="1:4">
      <c r="D49" s="2" t="s">
        <v>0</v>
      </c>
    </row>
    <row r="50" spans="1:4">
      <c r="A50" s="151" t="s">
        <v>2948</v>
      </c>
    </row>
  </sheetData>
  <mergeCells count="4">
    <mergeCell ref="A1:F1"/>
    <mergeCell ref="A2:F2"/>
    <mergeCell ref="A3:F3"/>
    <mergeCell ref="A4:F4"/>
  </mergeCells>
  <printOptions horizontalCentered="1"/>
  <pageMargins left="0.74803149606299213" right="0.74803149606299213" top="0.78740157480314965" bottom="0.98425196850393704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631</vt:i4>
      </vt:variant>
      <vt:variant>
        <vt:lpstr>Named Ranges</vt:lpstr>
      </vt:variant>
      <vt:variant>
        <vt:i4>195</vt:i4>
      </vt:variant>
    </vt:vector>
  </HeadingPairs>
  <TitlesOfParts>
    <vt:vector size="826" baseType="lpstr">
      <vt:lpstr>Star (2)</vt:lpstr>
      <vt:lpstr>Telekom (3)</vt:lpstr>
      <vt:lpstr>Persatuan Kesenian</vt:lpstr>
      <vt:lpstr>Sunway Biz</vt:lpstr>
      <vt:lpstr>Sarl Cleverois</vt:lpstr>
      <vt:lpstr>Travelogy (2)</vt:lpstr>
      <vt:lpstr>Seow Ai See (Petty Cash)</vt:lpstr>
      <vt:lpstr>Siridhar</vt:lpstr>
      <vt:lpstr>Sojern Limited</vt:lpstr>
      <vt:lpstr>Shopback</vt:lpstr>
      <vt:lpstr>Semangat Kiwi</vt:lpstr>
      <vt:lpstr>Trip.com</vt:lpstr>
      <vt:lpstr>Shinaji Sdn Bhd</vt:lpstr>
      <vt:lpstr>Shanghai Ctrip</vt:lpstr>
      <vt:lpstr>Empty</vt:lpstr>
      <vt:lpstr>SMKP George Town</vt:lpstr>
      <vt:lpstr>Silver Ant (SG)</vt:lpstr>
      <vt:lpstr>SL Elec</vt:lpstr>
      <vt:lpstr>Smart Way</vt:lpstr>
      <vt:lpstr>SK Vacation</vt:lpstr>
      <vt:lpstr>Shanghai</vt:lpstr>
      <vt:lpstr> Shangrila2</vt:lpstr>
      <vt:lpstr>Silver Ant</vt:lpstr>
      <vt:lpstr>Sure Commerce</vt:lpstr>
      <vt:lpstr>Sung Yunmo</vt:lpstr>
      <vt:lpstr>Schenker</vt:lpstr>
      <vt:lpstr>Sim Mei Wan</vt:lpstr>
      <vt:lpstr>Sitehost</vt:lpstr>
      <vt:lpstr>Sun Moon Tour</vt:lpstr>
      <vt:lpstr>Shimai</vt:lpstr>
      <vt:lpstr>Spafax</vt:lpstr>
      <vt:lpstr>Sim Chew Teik BUs</vt:lpstr>
      <vt:lpstr>Seven Terraces</vt:lpstr>
      <vt:lpstr>Safrizal</vt:lpstr>
      <vt:lpstr>Super Sparks</vt:lpstr>
      <vt:lpstr>Supersonic</vt:lpstr>
      <vt:lpstr>Sharon Saw</vt:lpstr>
      <vt:lpstr>Sync</vt:lpstr>
      <vt:lpstr>Shanghai Spring</vt:lpstr>
      <vt:lpstr>SMI Holiday</vt:lpstr>
      <vt:lpstr>Singapore Airlines</vt:lpstr>
      <vt:lpstr>Singapore Airlines (2)</vt:lpstr>
      <vt:lpstr>Singapore Airlines (3)</vt:lpstr>
      <vt:lpstr>SilkAir Limited</vt:lpstr>
      <vt:lpstr>SuperSparks</vt:lpstr>
      <vt:lpstr>Syarikat WKM</vt:lpstr>
      <vt:lpstr>Segi</vt:lpstr>
      <vt:lpstr>Sledgehammer</vt:lpstr>
      <vt:lpstr>Saigon Boulevard</vt:lpstr>
      <vt:lpstr>Southern Media</vt:lpstr>
      <vt:lpstr>Shimai Ent</vt:lpstr>
      <vt:lpstr>Solid Equipment</vt:lpstr>
      <vt:lpstr>Salient Glory</vt:lpstr>
      <vt:lpstr>Sevena</vt:lpstr>
      <vt:lpstr>Saivision </vt:lpstr>
      <vt:lpstr>Sherwynd</vt:lpstr>
      <vt:lpstr>Silkair</vt:lpstr>
      <vt:lpstr>Sykt Libraco</vt:lpstr>
      <vt:lpstr>Shyaamala</vt:lpstr>
      <vt:lpstr>Nanjing Tuniu</vt:lpstr>
      <vt:lpstr>ROD Creative (2)</vt:lpstr>
      <vt:lpstr>Natthineethiti</vt:lpstr>
      <vt:lpstr>NTour</vt:lpstr>
      <vt:lpstr>NCC</vt:lpstr>
      <vt:lpstr>Next Trend</vt:lpstr>
      <vt:lpstr>Niche Forte</vt:lpstr>
      <vt:lpstr>Noor Azman</vt:lpstr>
      <vt:lpstr>New Base</vt:lpstr>
      <vt:lpstr>Nhan Doanh</vt:lpstr>
      <vt:lpstr>Neo Sentuhan</vt:lpstr>
      <vt:lpstr>Narwinjit</vt:lpstr>
      <vt:lpstr>Siti Nora</vt:lpstr>
      <vt:lpstr>Synchrosound</vt:lpstr>
      <vt:lpstr>St John</vt:lpstr>
      <vt:lpstr>Silicon Tech</vt:lpstr>
      <vt:lpstr>SOZO</vt:lpstr>
      <vt:lpstr>Su Aziz</vt:lpstr>
      <vt:lpstr>Sloane</vt:lpstr>
      <vt:lpstr>One FM</vt:lpstr>
      <vt:lpstr>Shun Jian Howe</vt:lpstr>
      <vt:lpstr>Sunshine Surge</vt:lpstr>
      <vt:lpstr>Says Youth Society</vt:lpstr>
      <vt:lpstr>SooHo</vt:lpstr>
      <vt:lpstr>TG Solutions</vt:lpstr>
      <vt:lpstr>Takaful</vt:lpstr>
      <vt:lpstr>Tan Seang Aun</vt:lpstr>
      <vt:lpstr>The Spring</vt:lpstr>
      <vt:lpstr>The Shore</vt:lpstr>
      <vt:lpstr>Trinity Diligent</vt:lpstr>
      <vt:lpstr>Thai INt Fair</vt:lpstr>
      <vt:lpstr>Time Tunnel</vt:lpstr>
      <vt:lpstr>Titan</vt:lpstr>
      <vt:lpstr>Travel Expert</vt:lpstr>
      <vt:lpstr>Toong Li</vt:lpstr>
      <vt:lpstr>The Mira HK</vt:lpstr>
      <vt:lpstr>Telekom</vt:lpstr>
      <vt:lpstr>Telekom (2)</vt:lpstr>
      <vt:lpstr>Tan Chong Lum</vt:lpstr>
      <vt:lpstr>The Art of Siang</vt:lpstr>
      <vt:lpstr>Think City</vt:lpstr>
      <vt:lpstr>Tan Chee Hean</vt:lpstr>
      <vt:lpstr>The Howard Plaza</vt:lpstr>
      <vt:lpstr>TM</vt:lpstr>
      <vt:lpstr>Fatin Faieznur</vt:lpstr>
      <vt:lpstr>NewFair</vt:lpstr>
      <vt:lpstr>Nabil Akram</vt:lpstr>
      <vt:lpstr>Ng See Lok</vt:lpstr>
      <vt:lpstr>New World</vt:lpstr>
      <vt:lpstr>Nur Hafizah</vt:lpstr>
      <vt:lpstr>Nurfaizah</vt:lpstr>
      <vt:lpstr>Noor Hayati</vt:lpstr>
      <vt:lpstr>Norizeight</vt:lpstr>
      <vt:lpstr>Neoh</vt:lpstr>
      <vt:lpstr>Nursuliana</vt:lpstr>
      <vt:lpstr>Neoh Chee Jin</vt:lpstr>
      <vt:lpstr>Nachima</vt:lpstr>
      <vt:lpstr>NTC Msia</vt:lpstr>
      <vt:lpstr>Nur </vt:lpstr>
      <vt:lpstr>Nurliyana</vt:lpstr>
      <vt:lpstr>Nurul Iman</vt:lpstr>
      <vt:lpstr>Ng Chun How</vt:lpstr>
      <vt:lpstr>NPower</vt:lpstr>
      <vt:lpstr>New perspective</vt:lpstr>
      <vt:lpstr>Newspaper-Sundram</vt:lpstr>
      <vt:lpstr>Nuradila</vt:lpstr>
      <vt:lpstr>New Bob</vt:lpstr>
      <vt:lpstr>Narinder</vt:lpstr>
      <vt:lpstr>Noor Intan</vt:lpstr>
      <vt:lpstr>NL</vt:lpstr>
      <vt:lpstr>Orkes</vt:lpstr>
      <vt:lpstr>OE</vt:lpstr>
      <vt:lpstr>Ong Ab Bey</vt:lpstr>
      <vt:lpstr>Opera</vt:lpstr>
      <vt:lpstr>Overseas</vt:lpstr>
      <vt:lpstr>Ong Jin Teong</vt:lpstr>
      <vt:lpstr>OBS</vt:lpstr>
      <vt:lpstr>Ong Reno</vt:lpstr>
      <vt:lpstr>Olympia</vt:lpstr>
      <vt:lpstr>One Image</vt:lpstr>
      <vt:lpstr>Olive Tree</vt:lpstr>
      <vt:lpstr>Worldwide</vt:lpstr>
      <vt:lpstr>Optimal Media</vt:lpstr>
      <vt:lpstr>Ong Yen Meng</vt:lpstr>
      <vt:lpstr>Osaka St Regis</vt:lpstr>
      <vt:lpstr>Ong Teik Hin</vt:lpstr>
      <vt:lpstr>One Cool</vt:lpstr>
      <vt:lpstr>Ooi &amp; Associates</vt:lpstr>
      <vt:lpstr>Oon Kok Eu</vt:lpstr>
      <vt:lpstr>Ooi Chok Yan</vt:lpstr>
      <vt:lpstr>Ooi Choon Eng</vt:lpstr>
      <vt:lpstr>Omega</vt:lpstr>
      <vt:lpstr>Omega (2)</vt:lpstr>
      <vt:lpstr>OSY</vt:lpstr>
      <vt:lpstr>Oriental</vt:lpstr>
      <vt:lpstr>One Green Synergy</vt:lpstr>
      <vt:lpstr>Ozio Holidays</vt:lpstr>
      <vt:lpstr>OHL</vt:lpstr>
      <vt:lpstr>OGL claim</vt:lpstr>
      <vt:lpstr>Ong Yi Ling</vt:lpstr>
      <vt:lpstr>Ong</vt:lpstr>
      <vt:lpstr>AdvOng</vt:lpstr>
      <vt:lpstr>Ooi Geok Ling</vt:lpstr>
      <vt:lpstr>Ooi Geok Ling (2)</vt:lpstr>
      <vt:lpstr>OGL</vt:lpstr>
      <vt:lpstr>Ong Bee Lee</vt:lpstr>
      <vt:lpstr>Pacific World</vt:lpstr>
      <vt:lpstr>Pan Pacific</vt:lpstr>
      <vt:lpstr>Pt Elite</vt:lpstr>
      <vt:lpstr>P T MSW Global</vt:lpstr>
      <vt:lpstr>Premium Minds</vt:lpstr>
      <vt:lpstr>Perk 1</vt:lpstr>
      <vt:lpstr>Pixel Agent Studio</vt:lpstr>
      <vt:lpstr>PWPA</vt:lpstr>
      <vt:lpstr>Pg Holiao</vt:lpstr>
      <vt:lpstr>PICEB</vt:lpstr>
      <vt:lpstr>ProArt</vt:lpstr>
      <vt:lpstr>Penang Art Society</vt:lpstr>
      <vt:lpstr>PT Wira</vt:lpstr>
      <vt:lpstr>Persatuan Chingay</vt:lpstr>
      <vt:lpstr>Pelindung Dahan Sdn Bhd</vt:lpstr>
      <vt:lpstr>Penang Institute</vt:lpstr>
      <vt:lpstr>PDC Consultancy</vt:lpstr>
      <vt:lpstr>President(parkroyal)</vt:lpstr>
      <vt:lpstr>Pertubuhan (2)</vt:lpstr>
      <vt:lpstr>President Hotel</vt:lpstr>
      <vt:lpstr>PIBG</vt:lpstr>
      <vt:lpstr>Persatuan Pendidikan</vt:lpstr>
      <vt:lpstr>Penang Ladies</vt:lpstr>
      <vt:lpstr>Paul Charles</vt:lpstr>
      <vt:lpstr>Telekom (4)</vt:lpstr>
      <vt:lpstr>Penang Philharmonic</vt:lpstr>
      <vt:lpstr>PT Berlian</vt:lpstr>
      <vt:lpstr>Premier Sports</vt:lpstr>
      <vt:lpstr>Plenitidu</vt:lpstr>
      <vt:lpstr>PGT</vt:lpstr>
      <vt:lpstr>Palanivelo </vt:lpstr>
      <vt:lpstr>Paragon C</vt:lpstr>
      <vt:lpstr>Phar</vt:lpstr>
      <vt:lpstr>Pos Malaysia Berhad (2)</vt:lpstr>
      <vt:lpstr>Pico2</vt:lpstr>
      <vt:lpstr>P.Kebudayaan</vt:lpstr>
      <vt:lpstr>PTI</vt:lpstr>
      <vt:lpstr>PHC</vt:lpstr>
      <vt:lpstr>Panca2</vt:lpstr>
      <vt:lpstr>Perut Rumah2</vt:lpstr>
      <vt:lpstr>Pro-tents</vt:lpstr>
      <vt:lpstr>Priority</vt:lpstr>
      <vt:lpstr>PST</vt:lpstr>
      <vt:lpstr>PGCC</vt:lpstr>
      <vt:lpstr>PATA (2)</vt:lpstr>
      <vt:lpstr>PATA</vt:lpstr>
      <vt:lpstr>Peter</vt:lpstr>
      <vt:lpstr>Pancaragam Union</vt:lpstr>
      <vt:lpstr>Prime </vt:lpstr>
      <vt:lpstr>Pewter Art1</vt:lpstr>
      <vt:lpstr>PEEC</vt:lpstr>
      <vt:lpstr>PEEC (2)</vt:lpstr>
      <vt:lpstr>Pak Khai Lin</vt:lpstr>
      <vt:lpstr>Parkroyal</vt:lpstr>
      <vt:lpstr>Protents</vt:lpstr>
      <vt:lpstr>PICO Art</vt:lpstr>
      <vt:lpstr>PTS</vt:lpstr>
      <vt:lpstr>PTS (2)</vt:lpstr>
      <vt:lpstr>Palmco</vt:lpstr>
      <vt:lpstr>Penang Hill</vt:lpstr>
      <vt:lpstr>Pewter Art2</vt:lpstr>
      <vt:lpstr>Penelope</vt:lpstr>
      <vt:lpstr>PATA1</vt:lpstr>
      <vt:lpstr>Pubicitas</vt:lpstr>
      <vt:lpstr>PIHH</vt:lpstr>
      <vt:lpstr>PIBG SEK</vt:lpstr>
      <vt:lpstr>Penang Hill2</vt:lpstr>
      <vt:lpstr>P&amp;G</vt:lpstr>
      <vt:lpstr>PenExpo</vt:lpstr>
      <vt:lpstr>Park Tree</vt:lpstr>
      <vt:lpstr>Penangnites</vt:lpstr>
      <vt:lpstr>PIBG SM Han Chiang</vt:lpstr>
      <vt:lpstr>Poteto</vt:lpstr>
      <vt:lpstr>PSDC</vt:lpstr>
      <vt:lpstr>Penang Institute1</vt:lpstr>
      <vt:lpstr>Yee Zen Ming Ent</vt:lpstr>
      <vt:lpstr>Performance</vt:lpstr>
      <vt:lpstr>PT Hardaya</vt:lpstr>
      <vt:lpstr>PT Maju Ika Jaya</vt:lpstr>
      <vt:lpstr>Penang Port</vt:lpstr>
      <vt:lpstr>Parazee</vt:lpstr>
      <vt:lpstr>Penang Tourist Centre</vt:lpstr>
      <vt:lpstr>Platinum</vt:lpstr>
      <vt:lpstr>Penang Batik</vt:lpstr>
      <vt:lpstr>P.T NSW Global</vt:lpstr>
      <vt:lpstr>Pinang Peranakan</vt:lpstr>
      <vt:lpstr>Premier Holidays</vt:lpstr>
      <vt:lpstr>Penang Batik2</vt:lpstr>
      <vt:lpstr>PGT2</vt:lpstr>
      <vt:lpstr>Perk</vt:lpstr>
      <vt:lpstr>PwC</vt:lpstr>
      <vt:lpstr>Pinang Canvas</vt:lpstr>
      <vt:lpstr>Pinnacle Nexus</vt:lpstr>
      <vt:lpstr>Oon Kok Eu (2)</vt:lpstr>
      <vt:lpstr>Philippines AA</vt:lpstr>
      <vt:lpstr>Palita</vt:lpstr>
      <vt:lpstr>Pico HCM</vt:lpstr>
      <vt:lpstr>MCTA</vt:lpstr>
      <vt:lpstr>Mon Reve Talent</vt:lpstr>
      <vt:lpstr>Me Sketch</vt:lpstr>
      <vt:lpstr>PT Indonesia AirAsia</vt:lpstr>
      <vt:lpstr>Pen Ads</vt:lpstr>
      <vt:lpstr>PIBG Padang Polo</vt:lpstr>
      <vt:lpstr>Pt Toni</vt:lpstr>
      <vt:lpstr>PIBG Puan Habsah</vt:lpstr>
      <vt:lpstr>PIBG SK Residensi</vt:lpstr>
      <vt:lpstr>PIBG St George</vt:lpstr>
      <vt:lpstr>PT Citilink</vt:lpstr>
      <vt:lpstr>Part of You</vt:lpstr>
      <vt:lpstr>Premium</vt:lpstr>
      <vt:lpstr>PT Multi</vt:lpstr>
      <vt:lpstr>Point Cast</vt:lpstr>
      <vt:lpstr>Playdestinations</vt:lpstr>
      <vt:lpstr>Pixio</vt:lpstr>
      <vt:lpstr>PT Radio </vt:lpstr>
      <vt:lpstr>Prasarana</vt:lpstr>
      <vt:lpstr>Project Root2</vt:lpstr>
      <vt:lpstr>PT Multikreasi</vt:lpstr>
      <vt:lpstr>Pt Sativa Wisata</vt:lpstr>
      <vt:lpstr>Parasign</vt:lpstr>
      <vt:lpstr>Platinum Paradise</vt:lpstr>
      <vt:lpstr>Peanut</vt:lpstr>
      <vt:lpstr>PPH</vt:lpstr>
      <vt:lpstr>PPM</vt:lpstr>
      <vt:lpstr>PGC Strategies</vt:lpstr>
      <vt:lpstr>PT Indonesia</vt:lpstr>
      <vt:lpstr>PMC</vt:lpstr>
      <vt:lpstr>PP Setia</vt:lpstr>
      <vt:lpstr>PIBG Chong Cheng</vt:lpstr>
      <vt:lpstr>Parvenna</vt:lpstr>
      <vt:lpstr>PCB</vt:lpstr>
      <vt:lpstr>1PDC</vt:lpstr>
      <vt:lpstr>PDC1</vt:lpstr>
      <vt:lpstr>PDC2</vt:lpstr>
      <vt:lpstr>PDC Premier</vt:lpstr>
      <vt:lpstr>PDC Premier1</vt:lpstr>
      <vt:lpstr>Parveena</vt:lpstr>
      <vt:lpstr>Pevandeep</vt:lpstr>
      <vt:lpstr>PCP</vt:lpstr>
      <vt:lpstr>Persatuan Sikh</vt:lpstr>
      <vt:lpstr>Pentech</vt:lpstr>
      <vt:lpstr>Pen'ads</vt:lpstr>
      <vt:lpstr>PhotoCreatorPublication</vt:lpstr>
      <vt:lpstr>PersatuanSukan&amp;Kebud'anTionghua</vt:lpstr>
      <vt:lpstr>PersatuanTeong Guan</vt:lpstr>
      <vt:lpstr>Pinang</vt:lpstr>
      <vt:lpstr>PinangExhi</vt:lpstr>
      <vt:lpstr>PCTH</vt:lpstr>
      <vt:lpstr>Philatelic</vt:lpstr>
      <vt:lpstr>Pico</vt:lpstr>
      <vt:lpstr>Pg I Dragon B Fes</vt:lpstr>
      <vt:lpstr>Pg Forward</vt:lpstr>
      <vt:lpstr>PFS Movie</vt:lpstr>
      <vt:lpstr>Pelukis Cat</vt:lpstr>
      <vt:lpstr>Putrade</vt:lpstr>
      <vt:lpstr>PTGA</vt:lpstr>
      <vt:lpstr>PT Tahta</vt:lpstr>
      <vt:lpstr>Pressgroup</vt:lpstr>
      <vt:lpstr>Pico S'ng</vt:lpstr>
      <vt:lpstr>PICO Art (2)</vt:lpstr>
      <vt:lpstr>Print Station</vt:lpstr>
      <vt:lpstr>Pek Kong BM</vt:lpstr>
      <vt:lpstr>PSA</vt:lpstr>
      <vt:lpstr>Pewter Art</vt:lpstr>
      <vt:lpstr>Punjaban</vt:lpstr>
      <vt:lpstr>Peace Run</vt:lpstr>
      <vt:lpstr>Paragon</vt:lpstr>
      <vt:lpstr>Pg Ballroom</vt:lpstr>
      <vt:lpstr>PgHeritageT</vt:lpstr>
      <vt:lpstr>Poh Hock Seah</vt:lpstr>
      <vt:lpstr>Panca</vt:lpstr>
      <vt:lpstr>Peter Huang</vt:lpstr>
      <vt:lpstr>Pressgroup (2)</vt:lpstr>
      <vt:lpstr>Perut Rumah</vt:lpstr>
      <vt:lpstr>Palanivelo</vt:lpstr>
      <vt:lpstr>Petty cash</vt:lpstr>
      <vt:lpstr>Qisdayana Boutique</vt:lpstr>
      <vt:lpstr>Qatar</vt:lpstr>
      <vt:lpstr>Qatar Airways</vt:lpstr>
      <vt:lpstr>Qatar Airways (2)</vt:lpstr>
      <vt:lpstr>Qatar Airways (3)</vt:lpstr>
      <vt:lpstr>Qatar Airways (4)</vt:lpstr>
      <vt:lpstr>Qatar Airways (5)</vt:lpstr>
      <vt:lpstr>QEII</vt:lpstr>
      <vt:lpstr>Qube</vt:lpstr>
      <vt:lpstr>Red Star</vt:lpstr>
      <vt:lpstr>Rapid Ferry</vt:lpstr>
      <vt:lpstr>Roshena</vt:lpstr>
      <vt:lpstr>Ravi Sharma</vt:lpstr>
      <vt:lpstr>Rainbow Leisure</vt:lpstr>
      <vt:lpstr>RiseGroupe</vt:lpstr>
      <vt:lpstr>Rela Timur</vt:lpstr>
      <vt:lpstr>Riverbug</vt:lpstr>
      <vt:lpstr>RHB</vt:lpstr>
      <vt:lpstr>Regent Media</vt:lpstr>
      <vt:lpstr>Rela Timur Laut</vt:lpstr>
      <vt:lpstr>Rexpo Centra</vt:lpstr>
      <vt:lpstr>Rapid 3</vt:lpstr>
      <vt:lpstr>Reed</vt:lpstr>
      <vt:lpstr>Roslin bin Saidin</vt:lpstr>
      <vt:lpstr>Ross Stephenson</vt:lpstr>
      <vt:lpstr>Riza</vt:lpstr>
      <vt:lpstr>RedBerry</vt:lpstr>
      <vt:lpstr>RedBerry Outdoors</vt:lpstr>
      <vt:lpstr>Redtone</vt:lpstr>
      <vt:lpstr>Rickveen</vt:lpstr>
      <vt:lpstr>Renaissance Pewter</vt:lpstr>
      <vt:lpstr>ROD Creative</vt:lpstr>
      <vt:lpstr>Richelle</vt:lpstr>
      <vt:lpstr>Revatic</vt:lpstr>
      <vt:lpstr>Richelle Ann</vt:lpstr>
      <vt:lpstr>Roda</vt:lpstr>
      <vt:lpstr>Republic</vt:lpstr>
      <vt:lpstr>Real Film</vt:lpstr>
      <vt:lpstr>Rainbowfield</vt:lpstr>
      <vt:lpstr>Rising One</vt:lpstr>
      <vt:lpstr>Rapid 2</vt:lpstr>
      <vt:lpstr>Radius</vt:lpstr>
      <vt:lpstr>Roslin</vt:lpstr>
      <vt:lpstr>Roselyn</vt:lpstr>
      <vt:lpstr>Rainbow</vt:lpstr>
      <vt:lpstr>R.Kanesan</vt:lpstr>
      <vt:lpstr>Reka Art Space</vt:lpstr>
      <vt:lpstr>Rizal</vt:lpstr>
      <vt:lpstr>Rosnah</vt:lpstr>
      <vt:lpstr>Rohani</vt:lpstr>
      <vt:lpstr>Rebecca</vt:lpstr>
      <vt:lpstr>Ruai</vt:lpstr>
      <vt:lpstr>Red Rock</vt:lpstr>
      <vt:lpstr>Rain Prod</vt:lpstr>
      <vt:lpstr>Rapid</vt:lpstr>
      <vt:lpstr>RA MSG</vt:lpstr>
      <vt:lpstr>Ricoh-photostat</vt:lpstr>
      <vt:lpstr>Scrip</vt:lpstr>
      <vt:lpstr>Shenzhen </vt:lpstr>
      <vt:lpstr>Skyzone</vt:lpstr>
      <vt:lpstr>Stellar Forward</vt:lpstr>
      <vt:lpstr>Sin Hin </vt:lpstr>
      <vt:lpstr>SKAL Pg</vt:lpstr>
      <vt:lpstr>Suriana</vt:lpstr>
      <vt:lpstr>Sagar</vt:lpstr>
      <vt:lpstr>Sage</vt:lpstr>
      <vt:lpstr>Shockwave</vt:lpstr>
      <vt:lpstr>Study Malaysia</vt:lpstr>
      <vt:lpstr>Shin Yaera</vt:lpstr>
      <vt:lpstr>Surayah Abd Aziz</vt:lpstr>
      <vt:lpstr>SLE Events</vt:lpstr>
      <vt:lpstr>Spiral Synergy</vt:lpstr>
      <vt:lpstr>Sarass</vt:lpstr>
      <vt:lpstr>SGS Band</vt:lpstr>
      <vt:lpstr>Sitra</vt:lpstr>
      <vt:lpstr>Star</vt:lpstr>
      <vt:lpstr>Straits</vt:lpstr>
      <vt:lpstr>Song</vt:lpstr>
      <vt:lpstr>Studio Howard</vt:lpstr>
      <vt:lpstr>SQCC</vt:lpstr>
      <vt:lpstr>Sunway</vt:lpstr>
      <vt:lpstr>Syarinor</vt:lpstr>
      <vt:lpstr>Shangrila</vt:lpstr>
      <vt:lpstr>SBS Transit</vt:lpstr>
      <vt:lpstr>Soroptimist</vt:lpstr>
      <vt:lpstr>Seow Ai See</vt:lpstr>
      <vt:lpstr>Syarikat Percetakan Irisan</vt:lpstr>
      <vt:lpstr>Sim S Min</vt:lpstr>
      <vt:lpstr>Stamping</vt:lpstr>
      <vt:lpstr>Socso</vt:lpstr>
      <vt:lpstr>Sharon J</vt:lpstr>
      <vt:lpstr>Sharon Khoo</vt:lpstr>
      <vt:lpstr>Sterling</vt:lpstr>
      <vt:lpstr>Sharonpettycash</vt:lpstr>
      <vt:lpstr>Straits Collection</vt:lpstr>
      <vt:lpstr>Swisspac</vt:lpstr>
      <vt:lpstr>Shaikh</vt:lpstr>
      <vt:lpstr>Susan</vt:lpstr>
      <vt:lpstr>Siah</vt:lpstr>
      <vt:lpstr>Spring Prod</vt:lpstr>
      <vt:lpstr>Seong Tay Kong</vt:lpstr>
      <vt:lpstr>Scrabble</vt:lpstr>
      <vt:lpstr>Sin Kung</vt:lpstr>
      <vt:lpstr>Sikh</vt:lpstr>
      <vt:lpstr>Sharifah</vt:lpstr>
      <vt:lpstr>State Chinese</vt:lpstr>
      <vt:lpstr>Somerset</vt:lpstr>
      <vt:lpstr>Sunrise Perspective</vt:lpstr>
      <vt:lpstr>Sim Kok Jiun</vt:lpstr>
      <vt:lpstr>Syarikat Perniagaan Jayamas</vt:lpstr>
      <vt:lpstr>Top One</vt:lpstr>
      <vt:lpstr>TKS</vt:lpstr>
      <vt:lpstr>Top Up</vt:lpstr>
      <vt:lpstr>Tong Yan</vt:lpstr>
      <vt:lpstr>The Capricorn</vt:lpstr>
      <vt:lpstr>Toh Wie Chun</vt:lpstr>
      <vt:lpstr>Tokyo</vt:lpstr>
      <vt:lpstr>The China Press</vt:lpstr>
      <vt:lpstr>The Edge</vt:lpstr>
      <vt:lpstr>Toh Kim Hock</vt:lpstr>
      <vt:lpstr>Thai</vt:lpstr>
      <vt:lpstr>The Phoenix</vt:lpstr>
      <vt:lpstr>Teik Hin</vt:lpstr>
      <vt:lpstr>Today Lifestyle</vt:lpstr>
      <vt:lpstr>Teoh Huey Wen</vt:lpstr>
      <vt:lpstr>Tan Cheng Sim</vt:lpstr>
      <vt:lpstr>Traders Hotel HK</vt:lpstr>
      <vt:lpstr>The Nomad Pg</vt:lpstr>
      <vt:lpstr>Tripadvisor</vt:lpstr>
      <vt:lpstr>TWJ</vt:lpstr>
      <vt:lpstr>TKC</vt:lpstr>
      <vt:lpstr>Tripadvisor1</vt:lpstr>
      <vt:lpstr>The Esplanade</vt:lpstr>
      <vt:lpstr>Toi Toi</vt:lpstr>
      <vt:lpstr>Trustees</vt:lpstr>
      <vt:lpstr>Texline</vt:lpstr>
      <vt:lpstr>Thoy Siew Ping</vt:lpstr>
      <vt:lpstr>TLM Event</vt:lpstr>
      <vt:lpstr>Tan Jia Jeat</vt:lpstr>
      <vt:lpstr>Taiyo</vt:lpstr>
      <vt:lpstr>Unico</vt:lpstr>
      <vt:lpstr>Two Print</vt:lpstr>
      <vt:lpstr>The Ritz</vt:lpstr>
      <vt:lpstr>Tham Chia Chieh</vt:lpstr>
      <vt:lpstr>Tai</vt:lpstr>
      <vt:lpstr>Tan Yit Ming</vt:lpstr>
      <vt:lpstr>Tropical Fruit Farm</vt:lpstr>
      <vt:lpstr>TKS HK</vt:lpstr>
      <vt:lpstr>Tribeup</vt:lpstr>
      <vt:lpstr>Tay Yi Lin</vt:lpstr>
      <vt:lpstr>Teddville</vt:lpstr>
      <vt:lpstr>Tsuyoi</vt:lpstr>
      <vt:lpstr>Trailfinders</vt:lpstr>
      <vt:lpstr>Simply De Concepts</vt:lpstr>
      <vt:lpstr>Teoh Lay Pheng</vt:lpstr>
      <vt:lpstr>Travel Cube</vt:lpstr>
      <vt:lpstr>The Legend</vt:lpstr>
      <vt:lpstr>Ta Krai Cafe</vt:lpstr>
      <vt:lpstr>Tampo Miki</vt:lpstr>
      <vt:lpstr>Travelogy</vt:lpstr>
      <vt:lpstr>Tan Liu Chin</vt:lpstr>
      <vt:lpstr>Transperfect</vt:lpstr>
      <vt:lpstr>Thai AA</vt:lpstr>
      <vt:lpstr>Thai AA (2)</vt:lpstr>
      <vt:lpstr>Tan Shurong</vt:lpstr>
      <vt:lpstr>Tax Advisory</vt:lpstr>
      <vt:lpstr>Tan Chong</vt:lpstr>
      <vt:lpstr>Tong Poh Kheng</vt:lpstr>
      <vt:lpstr>St World</vt:lpstr>
      <vt:lpstr>The Plan Communication</vt:lpstr>
      <vt:lpstr>Titanium Hibiscus</vt:lpstr>
      <vt:lpstr>Tan Young Hean</vt:lpstr>
      <vt:lpstr>Tourism Section Consulate</vt:lpstr>
      <vt:lpstr>Trustwin</vt:lpstr>
      <vt:lpstr>Tour East</vt:lpstr>
      <vt:lpstr>The Eksentrika</vt:lpstr>
      <vt:lpstr>Trip4Asia</vt:lpstr>
      <vt:lpstr>Tan Chong Ekpress Auto </vt:lpstr>
      <vt:lpstr>Tourist Information Service</vt:lpstr>
      <vt:lpstr>Tan Ji Shen</vt:lpstr>
      <vt:lpstr>Tek Travel</vt:lpstr>
      <vt:lpstr>The Malaysian</vt:lpstr>
      <vt:lpstr>Tar Pictures</vt:lpstr>
      <vt:lpstr>Travelsmart</vt:lpstr>
      <vt:lpstr>The Light</vt:lpstr>
      <vt:lpstr>Teik Ee</vt:lpstr>
      <vt:lpstr>Tan Wei Wei</vt:lpstr>
      <vt:lpstr>TCCL</vt:lpstr>
      <vt:lpstr>TTG</vt:lpstr>
      <vt:lpstr>TNB</vt:lpstr>
      <vt:lpstr>TNB (2)</vt:lpstr>
      <vt:lpstr>TNB (3)</vt:lpstr>
      <vt:lpstr>TNB (4)</vt:lpstr>
      <vt:lpstr>Paradise</vt:lpstr>
      <vt:lpstr>Tan Hock Kheng</vt:lpstr>
      <vt:lpstr>Teresa Pereira</vt:lpstr>
      <vt:lpstr>Tropical</vt:lpstr>
      <vt:lpstr>Oohm</vt:lpstr>
      <vt:lpstr>Tour Incentive</vt:lpstr>
      <vt:lpstr>Topbit</vt:lpstr>
      <vt:lpstr>Thirty Two</vt:lpstr>
      <vt:lpstr>Trinity</vt:lpstr>
      <vt:lpstr>Tan Yeow Wooi</vt:lpstr>
      <vt:lpstr>T.M.Sundram</vt:lpstr>
      <vt:lpstr>Traders</vt:lpstr>
      <vt:lpstr>Tay Kar Bee</vt:lpstr>
      <vt:lpstr>Tow Boo Kong</vt:lpstr>
      <vt:lpstr>TNT</vt:lpstr>
      <vt:lpstr>Tutucars</vt:lpstr>
      <vt:lpstr>TNT (2)</vt:lpstr>
      <vt:lpstr>TravelBIZ</vt:lpstr>
      <vt:lpstr>Tour&amp;IncentiveTravel</vt:lpstr>
      <vt:lpstr>Tri-concept</vt:lpstr>
      <vt:lpstr>Teresa</vt:lpstr>
      <vt:lpstr>Sarl Cleverois (2)</vt:lpstr>
      <vt:lpstr>Unique Fiesta</vt:lpstr>
      <vt:lpstr>Universal Comms</vt:lpstr>
      <vt:lpstr>Uniholiday</vt:lpstr>
      <vt:lpstr>Unreserved</vt:lpstr>
      <vt:lpstr>Unity Media</vt:lpstr>
      <vt:lpstr>Usains</vt:lpstr>
      <vt:lpstr>Ulysses</vt:lpstr>
      <vt:lpstr>Uni Asia</vt:lpstr>
      <vt:lpstr>Ucan</vt:lpstr>
      <vt:lpstr>Veqta</vt:lpstr>
      <vt:lpstr>Verana</vt:lpstr>
      <vt:lpstr>Virture</vt:lpstr>
      <vt:lpstr>Vouk</vt:lpstr>
      <vt:lpstr>Vcreate</vt:lpstr>
      <vt:lpstr>Vanda</vt:lpstr>
      <vt:lpstr>Vividsgn</vt:lpstr>
      <vt:lpstr>VSL Equipment</vt:lpstr>
      <vt:lpstr>Veteran</vt:lpstr>
      <vt:lpstr>Vivien</vt:lpstr>
      <vt:lpstr>Workstar</vt:lpstr>
      <vt:lpstr>Wak Long</vt:lpstr>
      <vt:lpstr>Wan heng</vt:lpstr>
      <vt:lpstr>Wayee</vt:lpstr>
      <vt:lpstr>Wing Hup</vt:lpstr>
      <vt:lpstr>Wedding Malaysia</vt:lpstr>
      <vt:lpstr>Westcool</vt:lpstr>
      <vt:lpstr>The Life Saving</vt:lpstr>
      <vt:lpstr>Wonderfood</vt:lpstr>
      <vt:lpstr>World Of Fairway</vt:lpstr>
      <vt:lpstr>WorldSpan</vt:lpstr>
      <vt:lpstr>Winsome</vt:lpstr>
      <vt:lpstr>Woon</vt:lpstr>
      <vt:lpstr>WT Lim</vt:lpstr>
      <vt:lpstr>WnJ</vt:lpstr>
      <vt:lpstr>Wind Orkestra</vt:lpstr>
      <vt:lpstr>Web</vt:lpstr>
      <vt:lpstr>Wen Khai</vt:lpstr>
      <vt:lpstr>Wild Stream</vt:lpstr>
      <vt:lpstr>Wushu</vt:lpstr>
      <vt:lpstr>Wakaf Hindu</vt:lpstr>
      <vt:lpstr>Ink Publishing</vt:lpstr>
      <vt:lpstr>Xiamen C&amp;D</vt:lpstr>
      <vt:lpstr>Xiamen Weichuang</vt:lpstr>
      <vt:lpstr>Xiamen Penavico</vt:lpstr>
      <vt:lpstr>YK Curtain</vt:lpstr>
      <vt:lpstr>YZD Planning</vt:lpstr>
      <vt:lpstr>Yong Suh Yen</vt:lpstr>
      <vt:lpstr>Yee Oi Leng</vt:lpstr>
      <vt:lpstr>Yau Sau Moi</vt:lpstr>
      <vt:lpstr>YTL Screen</vt:lpstr>
      <vt:lpstr>Yau Fong Sze</vt:lpstr>
      <vt:lpstr>Yeap Hoo Yong</vt:lpstr>
      <vt:lpstr>Yahoo!</vt:lpstr>
      <vt:lpstr>Yeap Pei Luan</vt:lpstr>
      <vt:lpstr>YTL</vt:lpstr>
      <vt:lpstr>YTL (2)</vt:lpstr>
      <vt:lpstr>Ynot</vt:lpstr>
      <vt:lpstr>Yeap Peng Hoe</vt:lpstr>
      <vt:lpstr>Yeap Kam moey</vt:lpstr>
      <vt:lpstr>Yeen Leong</vt:lpstr>
      <vt:lpstr>Yus</vt:lpstr>
      <vt:lpstr>Yoon</vt:lpstr>
      <vt:lpstr>Yoon (2)</vt:lpstr>
      <vt:lpstr>York hotel</vt:lpstr>
      <vt:lpstr>Yeoh Beng Cjun</vt:lpstr>
      <vt:lpstr>YBLaw</vt:lpstr>
      <vt:lpstr>Yamato</vt:lpstr>
      <vt:lpstr>Yus Adv</vt:lpstr>
      <vt:lpstr>Yeoh</vt:lpstr>
      <vt:lpstr>Zen</vt:lpstr>
      <vt:lpstr>Zheng He</vt:lpstr>
      <vt:lpstr>Zin Mary</vt:lpstr>
      <vt:lpstr>Zen (2)</vt:lpstr>
      <vt:lpstr>Zaiton</vt:lpstr>
      <vt:lpstr>Zarika</vt:lpstr>
      <vt:lpstr>' Shangrila2'!Print_Area</vt:lpstr>
      <vt:lpstr>'1PDC'!Print_Area</vt:lpstr>
      <vt:lpstr>Empty!Print_Area</vt:lpstr>
      <vt:lpstr>'Ink Publishing'!Print_Area</vt:lpstr>
      <vt:lpstr>MCTA!Print_Area</vt:lpstr>
      <vt:lpstr>'Nabil Akram'!Print_Area</vt:lpstr>
      <vt:lpstr>Natthineethiti!Print_Area</vt:lpstr>
      <vt:lpstr>NCC!Print_Area</vt:lpstr>
      <vt:lpstr>'New Base'!Print_Area</vt:lpstr>
      <vt:lpstr>NewFair!Print_Area</vt:lpstr>
      <vt:lpstr>'Next Trend'!Print_Area</vt:lpstr>
      <vt:lpstr>'Ng Chun How'!Print_Area</vt:lpstr>
      <vt:lpstr>'Ng See Lok'!Print_Area</vt:lpstr>
      <vt:lpstr>Norizeight!Print_Area</vt:lpstr>
      <vt:lpstr>NTour!Print_Area</vt:lpstr>
      <vt:lpstr>Nursuliana!Print_Area</vt:lpstr>
      <vt:lpstr>'Olive Tree'!Print_Area</vt:lpstr>
      <vt:lpstr>Omega!Print_Area</vt:lpstr>
      <vt:lpstr>'One FM'!Print_Area</vt:lpstr>
      <vt:lpstr>'Ong Jin Teong'!Print_Area</vt:lpstr>
      <vt:lpstr>'Ong Reno'!Print_Area</vt:lpstr>
      <vt:lpstr>'Ong Teik Hin'!Print_Area</vt:lpstr>
      <vt:lpstr>'Ooi &amp; Associates'!Print_Area</vt:lpstr>
      <vt:lpstr>'Ooi Chok Yan'!Print_Area</vt:lpstr>
      <vt:lpstr>'Ooi Choon Eng'!Print_Area</vt:lpstr>
      <vt:lpstr>'Optimal Media'!Print_Area</vt:lpstr>
      <vt:lpstr>'Osaka St Regis'!Print_Area</vt:lpstr>
      <vt:lpstr>Overseas!Print_Area</vt:lpstr>
      <vt:lpstr>'P&amp;G'!Print_Area</vt:lpstr>
      <vt:lpstr>'P.T NSW Global'!Print_Area</vt:lpstr>
      <vt:lpstr>'Pacific World'!Print_Area</vt:lpstr>
      <vt:lpstr>'Pak Khai Lin'!Print_Area</vt:lpstr>
      <vt:lpstr>Palita!Print_Area</vt:lpstr>
      <vt:lpstr>'Park Tree'!Print_Area</vt:lpstr>
      <vt:lpstr>Parkroyal!Print_Area</vt:lpstr>
      <vt:lpstr>'Part of You'!Print_Area</vt:lpstr>
      <vt:lpstr>Peanut!Print_Area</vt:lpstr>
      <vt:lpstr>'Pelindung Dahan Sdn Bhd'!Print_Area</vt:lpstr>
      <vt:lpstr>'Pen Ads'!Print_Area</vt:lpstr>
      <vt:lpstr>'Penang Batik2'!Print_Area</vt:lpstr>
      <vt:lpstr>'Penang Ladies'!Print_Area</vt:lpstr>
      <vt:lpstr>Penangnites!Print_Area</vt:lpstr>
      <vt:lpstr>Performance!Print_Area</vt:lpstr>
      <vt:lpstr>Perk!Print_Area</vt:lpstr>
      <vt:lpstr>'Perk 1'!Print_Area</vt:lpstr>
      <vt:lpstr>'PGC Strategies'!Print_Area</vt:lpstr>
      <vt:lpstr>PGCC!Print_Area</vt:lpstr>
      <vt:lpstr>'Philippines AA'!Print_Area</vt:lpstr>
      <vt:lpstr>'PIBG Chong Cheng'!Print_Area</vt:lpstr>
      <vt:lpstr>'PIBG SK Residensi'!Print_Area</vt:lpstr>
      <vt:lpstr>PICEB!Print_Area</vt:lpstr>
      <vt:lpstr>PIHH!Print_Area</vt:lpstr>
      <vt:lpstr>'Pinang Peranakan'!Print_Area</vt:lpstr>
      <vt:lpstr>'Pinnacle Nexus'!Print_Area</vt:lpstr>
      <vt:lpstr>Pixio!Print_Area</vt:lpstr>
      <vt:lpstr>'Platinum Paradise'!Print_Area</vt:lpstr>
      <vt:lpstr>Playdestinations!Print_Area</vt:lpstr>
      <vt:lpstr>'Point Cast'!Print_Area</vt:lpstr>
      <vt:lpstr>PPH!Print_Area</vt:lpstr>
      <vt:lpstr>'Premium Minds'!Print_Area</vt:lpstr>
      <vt:lpstr>'President(parkroyal)'!Print_Area</vt:lpstr>
      <vt:lpstr>'Project Root2'!Print_Area</vt:lpstr>
      <vt:lpstr>Protents!Print_Area</vt:lpstr>
      <vt:lpstr>PSDC!Print_Area</vt:lpstr>
      <vt:lpstr>PST!Print_Area</vt:lpstr>
      <vt:lpstr>'PT Citilink'!Print_Area</vt:lpstr>
      <vt:lpstr>'PT Indonesia'!Print_Area</vt:lpstr>
      <vt:lpstr>'PT Multikreasi'!Print_Area</vt:lpstr>
      <vt:lpstr>'PT Radio '!Print_Area</vt:lpstr>
      <vt:lpstr>'Pt Toni'!Print_Area</vt:lpstr>
      <vt:lpstr>PTS!Print_Area</vt:lpstr>
      <vt:lpstr>'PTS (2)'!Print_Area</vt:lpstr>
      <vt:lpstr>Pubicitas!Print_Area</vt:lpstr>
      <vt:lpstr>Qatar!Print_Area</vt:lpstr>
      <vt:lpstr>'Qatar Airways'!Print_Area</vt:lpstr>
      <vt:lpstr>'Qatar Airways (2)'!Print_Area</vt:lpstr>
      <vt:lpstr>'Qatar Airways (3)'!Print_Area</vt:lpstr>
      <vt:lpstr>'Qatar Airways (4)'!Print_Area</vt:lpstr>
      <vt:lpstr>'Qatar Airways (5)'!Print_Area</vt:lpstr>
      <vt:lpstr>Radius!Print_Area</vt:lpstr>
      <vt:lpstr>'Rainbow Leisure'!Print_Area</vt:lpstr>
      <vt:lpstr>'Rapid Ferry'!Print_Area</vt:lpstr>
      <vt:lpstr>'Ravi Sharma'!Print_Area</vt:lpstr>
      <vt:lpstr>RedBerry!Print_Area</vt:lpstr>
      <vt:lpstr>'RedBerry Outdoors'!Print_Area</vt:lpstr>
      <vt:lpstr>'Regent Media'!Print_Area</vt:lpstr>
      <vt:lpstr>'Rela Timur'!Print_Area</vt:lpstr>
      <vt:lpstr>'Rela Timur Laut'!Print_Area</vt:lpstr>
      <vt:lpstr>RiseGroupe!Print_Area</vt:lpstr>
      <vt:lpstr>'Rising One'!Print_Area</vt:lpstr>
      <vt:lpstr>Riverbug!Print_Area</vt:lpstr>
      <vt:lpstr>'ROD Creative'!Print_Area</vt:lpstr>
      <vt:lpstr>Roselyn!Print_Area</vt:lpstr>
      <vt:lpstr>Roslin!Print_Area</vt:lpstr>
      <vt:lpstr>Sarass!Print_Area</vt:lpstr>
      <vt:lpstr>'Sarl Cleverois'!Print_Area</vt:lpstr>
      <vt:lpstr>'Sarl Cleverois (2)'!Print_Area</vt:lpstr>
      <vt:lpstr>'SBS Transit'!Print_Area</vt:lpstr>
      <vt:lpstr>Segi!Print_Area</vt:lpstr>
      <vt:lpstr>'Seow Ai See (Petty Cash)'!Print_Area</vt:lpstr>
      <vt:lpstr>'Seven Terraces'!Print_Area</vt:lpstr>
      <vt:lpstr>Sevena!Print_Area</vt:lpstr>
      <vt:lpstr>Shanghai!Print_Area</vt:lpstr>
      <vt:lpstr>'Shanghai Ctrip'!Print_Area</vt:lpstr>
      <vt:lpstr>'Shanghai Spring'!Print_Area</vt:lpstr>
      <vt:lpstr>Shangrila!Print_Area</vt:lpstr>
      <vt:lpstr>'Sharon Saw'!Print_Area</vt:lpstr>
      <vt:lpstr>Shimai!Print_Area</vt:lpstr>
      <vt:lpstr>'Shinaji Sdn Bhd'!Print_Area</vt:lpstr>
      <vt:lpstr>Shopback!Print_Area</vt:lpstr>
      <vt:lpstr>'SilkAir Limited'!Print_Area</vt:lpstr>
      <vt:lpstr>'Silver Ant'!Print_Area</vt:lpstr>
      <vt:lpstr>'Silver Ant (SG)'!Print_Area</vt:lpstr>
      <vt:lpstr>'Singapore Airlines'!Print_Area</vt:lpstr>
      <vt:lpstr>'Singapore Airlines (2)'!Print_Area</vt:lpstr>
      <vt:lpstr>'Singapore Airlines (3)'!Print_Area</vt:lpstr>
      <vt:lpstr>Siridhar!Print_Area</vt:lpstr>
      <vt:lpstr>Sitehost!Print_Area</vt:lpstr>
      <vt:lpstr>'SK Vacation'!Print_Area</vt:lpstr>
      <vt:lpstr>'SKAL Pg'!Print_Area</vt:lpstr>
      <vt:lpstr>'SMKP George Town'!Print_Area</vt:lpstr>
      <vt:lpstr>'Sojern Limited'!Print_Area</vt:lpstr>
      <vt:lpstr>'Solid Equipment'!Print_Area</vt:lpstr>
      <vt:lpstr>Soroptimist!Print_Area</vt:lpstr>
      <vt:lpstr>SOZO!Print_Area</vt:lpstr>
      <vt:lpstr>Spafax!Print_Area</vt:lpstr>
      <vt:lpstr>Star!Print_Area</vt:lpstr>
      <vt:lpstr>Sterling!Print_Area</vt:lpstr>
      <vt:lpstr>'Studio Howard'!Print_Area</vt:lpstr>
      <vt:lpstr>'Sun Moon Tour'!Print_Area</vt:lpstr>
      <vt:lpstr>'Sunway Biz'!Print_Area</vt:lpstr>
      <vt:lpstr>Suriana!Print_Area</vt:lpstr>
      <vt:lpstr>Takaful!Print_Area</vt:lpstr>
      <vt:lpstr>'Tampo Miki'!Print_Area</vt:lpstr>
      <vt:lpstr>'Tan Chong'!Print_Area</vt:lpstr>
      <vt:lpstr>'Tan Chong Ekpress Auto '!Print_Area</vt:lpstr>
      <vt:lpstr>'Tan Liu Chin'!Print_Area</vt:lpstr>
      <vt:lpstr>'Tan Seang Aun'!Print_Area</vt:lpstr>
      <vt:lpstr>'Tan Shurong'!Print_Area</vt:lpstr>
      <vt:lpstr>'Tan Wei Wei'!Print_Area</vt:lpstr>
      <vt:lpstr>'Tan Young Hean'!Print_Area</vt:lpstr>
      <vt:lpstr>'Tar Pictures'!Print_Area</vt:lpstr>
      <vt:lpstr>'Tax Advisory'!Print_Area</vt:lpstr>
      <vt:lpstr>TCCL!Print_Area</vt:lpstr>
      <vt:lpstr>Teddville!Print_Area</vt:lpstr>
      <vt:lpstr>'Tek Travel'!Print_Area</vt:lpstr>
      <vt:lpstr>'Telekom (2)'!Print_Area</vt:lpstr>
      <vt:lpstr>'Teoh Lay Pheng'!Print_Area</vt:lpstr>
      <vt:lpstr>Texline!Print_Area</vt:lpstr>
      <vt:lpstr>'TG Solutions'!Print_Area</vt:lpstr>
      <vt:lpstr>'Thai INt Fair'!Print_Area</vt:lpstr>
      <vt:lpstr>'Tham Chia Chieh'!Print_Area</vt:lpstr>
      <vt:lpstr>'The Eksentrika'!Print_Area</vt:lpstr>
      <vt:lpstr>'The Legend'!Print_Area</vt:lpstr>
      <vt:lpstr>'The Life Saving'!Print_Area</vt:lpstr>
      <vt:lpstr>'The Mira HK'!Print_Area</vt:lpstr>
      <vt:lpstr>'The Spring'!Print_Area</vt:lpstr>
      <vt:lpstr>'Thoy Siew Ping'!Print_Area</vt:lpstr>
      <vt:lpstr>TKS!Print_Area</vt:lpstr>
      <vt:lpstr>'TKS HK'!Print_Area</vt:lpstr>
      <vt:lpstr>'TLM Event'!Print_Area</vt:lpstr>
      <vt:lpstr>'TNB (2)'!Print_Area</vt:lpstr>
      <vt:lpstr>'TNB (4)'!Print_Area</vt:lpstr>
      <vt:lpstr>TNT!Print_Area</vt:lpstr>
      <vt:lpstr>'Toi Toi'!Print_Area</vt:lpstr>
      <vt:lpstr>'Toong Li'!Print_Area</vt:lpstr>
      <vt:lpstr>'Tour East'!Print_Area</vt:lpstr>
      <vt:lpstr>Trailfinders!Print_Area</vt:lpstr>
      <vt:lpstr>Transperfect!Print_Area</vt:lpstr>
      <vt:lpstr>'Travel Expert'!Print_Area</vt:lpstr>
      <vt:lpstr>TravelBIZ!Print_Area</vt:lpstr>
      <vt:lpstr>Travelogy!Print_Area</vt:lpstr>
      <vt:lpstr>'Travelogy (2)'!Print_Area</vt:lpstr>
      <vt:lpstr>Travelsmart!Print_Area</vt:lpstr>
      <vt:lpstr>Trip.com!Print_Area</vt:lpstr>
      <vt:lpstr>Trustwin!Print_Area</vt:lpstr>
      <vt:lpstr>Tsuyoi!Print_Area</vt:lpstr>
      <vt:lpstr>'Two Print'!Print_Area</vt:lpstr>
      <vt:lpstr>'Unity Media'!Print_Area</vt:lpstr>
      <vt:lpstr>Usains!Print_Area</vt:lpstr>
      <vt:lpstr>Vcreate!Print_Area</vt:lpstr>
      <vt:lpstr>'Wak Long'!Print_Area</vt:lpstr>
      <vt:lpstr>'Wan heng'!Print_Area</vt:lpstr>
      <vt:lpstr>Wayee!Print_Area</vt:lpstr>
      <vt:lpstr>'Xiamen C&amp;D'!Print_Area</vt:lpstr>
      <vt:lpstr>'Xiamen Penavico'!Print_Area</vt:lpstr>
      <vt:lpstr>'Xiamen Weichuang'!Print_Area</vt:lpstr>
      <vt:lpstr>'Yau Sau Moi'!Print_Area</vt:lpstr>
      <vt:lpstr>'Yeap Kam moey'!Print_Area</vt:lpstr>
      <vt:lpstr>'Yee Oi Leng'!Print_Area</vt:lpstr>
      <vt:lpstr>'Yee Zen Ming Ent'!Print_Area</vt:lpstr>
      <vt:lpstr>'Yong Suh Yen'!Print_Area</vt:lpstr>
      <vt:lpstr>Yoon!Print_Area</vt:lpstr>
      <vt:lpstr>'YZD Planning'!Print_Area</vt:lpstr>
      <vt:lpstr>Radius!Print_Titles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MICHELLE</cp:lastModifiedBy>
  <cp:lastPrinted>2021-01-19T05:32:28Z</cp:lastPrinted>
  <dcterms:created xsi:type="dcterms:W3CDTF">2011-03-14T02:27:41Z</dcterms:created>
  <dcterms:modified xsi:type="dcterms:W3CDTF">2021-01-19T07:11:01Z</dcterms:modified>
</cp:coreProperties>
</file>